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83" documentId="13_ncr:1_{DFAC92C0-D143-4557-8D90-E9ED54B91385}" xr6:coauthVersionLast="47" xr6:coauthVersionMax="47" xr10:uidLastSave="{2C09593F-DEEC-43B3-AFD1-406EA110183B}"/>
  <bookViews>
    <workbookView xWindow="-108" yWindow="-108" windowWidth="23256" windowHeight="12456" xr2:uid="{00000000-000D-0000-FFFF-FFFF00000000}"/>
  </bookViews>
  <sheets>
    <sheet name="Calendario automatizzato" sheetId="1" r:id="rId1"/>
    <sheet name="Panoramica annuale" sheetId="2" r:id="rId2"/>
  </sheets>
  <definedNames>
    <definedName name="_xlnm.Print_Area" localSheetId="0">'Calendario automatizzato'!$A$2:$AH$31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" i="2" l="1"/>
  <c r="AH31" i="1"/>
  <c r="AG31" i="1"/>
  <c r="AF31" i="1"/>
  <c r="AE31" i="1"/>
  <c r="AD31" i="1"/>
  <c r="AC31" i="1"/>
  <c r="AB31" i="1"/>
  <c r="Y31" i="1"/>
  <c r="X31" i="1"/>
  <c r="W31" i="1"/>
  <c r="V31" i="1"/>
  <c r="U31" i="1"/>
  <c r="T31" i="1"/>
  <c r="S31" i="1"/>
  <c r="P31" i="1"/>
  <c r="O31" i="1"/>
  <c r="N31" i="1"/>
  <c r="M31" i="1"/>
  <c r="L31" i="1"/>
  <c r="K31" i="1"/>
  <c r="J31" i="1"/>
  <c r="G31" i="1"/>
  <c r="F31" i="1"/>
  <c r="E31" i="1"/>
  <c r="D31" i="1"/>
  <c r="C31" i="1"/>
  <c r="B31" i="1"/>
  <c r="A31" i="1"/>
  <c r="AH30" i="1"/>
  <c r="AG30" i="1"/>
  <c r="AF30" i="1"/>
  <c r="AE30" i="1"/>
  <c r="AD30" i="1"/>
  <c r="AC30" i="1"/>
  <c r="AB30" i="1"/>
  <c r="Y30" i="1"/>
  <c r="X30" i="1"/>
  <c r="W30" i="1"/>
  <c r="V30" i="1"/>
  <c r="U30" i="1"/>
  <c r="T30" i="1"/>
  <c r="S30" i="1"/>
  <c r="P30" i="1"/>
  <c r="O30" i="1"/>
  <c r="N30" i="1"/>
  <c r="M30" i="1"/>
  <c r="L30" i="1"/>
  <c r="K30" i="1"/>
  <c r="J30" i="1"/>
  <c r="G30" i="1"/>
  <c r="F30" i="1"/>
  <c r="E30" i="1"/>
  <c r="D30" i="1"/>
  <c r="C30" i="1"/>
  <c r="B30" i="1"/>
  <c r="A30" i="1"/>
  <c r="AH29" i="1"/>
  <c r="AG29" i="1"/>
  <c r="AF29" i="1"/>
  <c r="AE29" i="1"/>
  <c r="AD29" i="1"/>
  <c r="AC29" i="1"/>
  <c r="AB29" i="1"/>
  <c r="Y29" i="1"/>
  <c r="X29" i="1"/>
  <c r="W29" i="1"/>
  <c r="V29" i="1"/>
  <c r="U29" i="1"/>
  <c r="T29" i="1"/>
  <c r="S29" i="1"/>
  <c r="P29" i="1"/>
  <c r="O29" i="1"/>
  <c r="N29" i="1"/>
  <c r="M29" i="1"/>
  <c r="L29" i="1"/>
  <c r="K29" i="1"/>
  <c r="J29" i="1"/>
  <c r="G29" i="1"/>
  <c r="F29" i="1"/>
  <c r="E29" i="1"/>
  <c r="D29" i="1"/>
  <c r="C29" i="1"/>
  <c r="B29" i="1"/>
  <c r="A29" i="1"/>
  <c r="AH28" i="1"/>
  <c r="AG28" i="1"/>
  <c r="AF28" i="1"/>
  <c r="AE28" i="1"/>
  <c r="AD28" i="1"/>
  <c r="AC28" i="1"/>
  <c r="AB28" i="1"/>
  <c r="Y28" i="1"/>
  <c r="X28" i="1"/>
  <c r="W28" i="1"/>
  <c r="V28" i="1"/>
  <c r="U28" i="1"/>
  <c r="T28" i="1"/>
  <c r="S28" i="1"/>
  <c r="P28" i="1"/>
  <c r="O28" i="1"/>
  <c r="N28" i="1"/>
  <c r="M28" i="1"/>
  <c r="L28" i="1"/>
  <c r="K28" i="1"/>
  <c r="J28" i="1"/>
  <c r="G28" i="1"/>
  <c r="F28" i="1"/>
  <c r="E28" i="1"/>
  <c r="D28" i="1"/>
  <c r="C28" i="1"/>
  <c r="B28" i="1"/>
  <c r="A28" i="1"/>
  <c r="AH27" i="1"/>
  <c r="AG27" i="1"/>
  <c r="AF27" i="1"/>
  <c r="AE27" i="1"/>
  <c r="AD27" i="1"/>
  <c r="AC27" i="1"/>
  <c r="AB27" i="1"/>
  <c r="Y27" i="1"/>
  <c r="X27" i="1"/>
  <c r="W27" i="1"/>
  <c r="V27" i="1"/>
  <c r="U27" i="1"/>
  <c r="T27" i="1"/>
  <c r="S27" i="1"/>
  <c r="P27" i="1"/>
  <c r="O27" i="1"/>
  <c r="N27" i="1"/>
  <c r="M27" i="1"/>
  <c r="L27" i="1"/>
  <c r="K27" i="1"/>
  <c r="J27" i="1"/>
  <c r="G27" i="1"/>
  <c r="F27" i="1"/>
  <c r="E27" i="1"/>
  <c r="D27" i="1"/>
  <c r="C27" i="1"/>
  <c r="B27" i="1"/>
  <c r="A27" i="1"/>
  <c r="AH26" i="1"/>
  <c r="AG26" i="1"/>
  <c r="AF26" i="1"/>
  <c r="AE26" i="1"/>
  <c r="AD26" i="1"/>
  <c r="AC26" i="1"/>
  <c r="AB26" i="1"/>
  <c r="Y26" i="1"/>
  <c r="X26" i="1"/>
  <c r="W26" i="1"/>
  <c r="V26" i="1"/>
  <c r="U26" i="1"/>
  <c r="T26" i="1"/>
  <c r="S26" i="1"/>
  <c r="P26" i="1"/>
  <c r="O26" i="1"/>
  <c r="N26" i="1"/>
  <c r="M26" i="1"/>
  <c r="L26" i="1"/>
  <c r="K26" i="1"/>
  <c r="J26" i="1"/>
  <c r="G26" i="1"/>
  <c r="F26" i="1"/>
  <c r="E26" i="1"/>
  <c r="D26" i="1"/>
  <c r="C26" i="1"/>
  <c r="B26" i="1"/>
  <c r="A26" i="1"/>
  <c r="AH21" i="1"/>
  <c r="AG21" i="1"/>
  <c r="AF21" i="1"/>
  <c r="AE21" i="1"/>
  <c r="AD21" i="1"/>
  <c r="AC21" i="1"/>
  <c r="AB21" i="1"/>
  <c r="Y21" i="1"/>
  <c r="X21" i="1"/>
  <c r="W21" i="1"/>
  <c r="V21" i="1"/>
  <c r="U21" i="1"/>
  <c r="T21" i="1"/>
  <c r="S21" i="1"/>
  <c r="P21" i="1"/>
  <c r="O21" i="1"/>
  <c r="N21" i="1"/>
  <c r="M21" i="1"/>
  <c r="L21" i="1"/>
  <c r="K21" i="1"/>
  <c r="J21" i="1"/>
  <c r="G21" i="1"/>
  <c r="F21" i="1"/>
  <c r="E21" i="1"/>
  <c r="D21" i="1"/>
  <c r="C21" i="1"/>
  <c r="B21" i="1"/>
  <c r="A21" i="1"/>
  <c r="AH20" i="1"/>
  <c r="AG20" i="1"/>
  <c r="AF20" i="1"/>
  <c r="AE20" i="1"/>
  <c r="AD20" i="1"/>
  <c r="AC20" i="1"/>
  <c r="AB20" i="1"/>
  <c r="Y20" i="1"/>
  <c r="X20" i="1"/>
  <c r="W20" i="1"/>
  <c r="V20" i="1"/>
  <c r="U20" i="1"/>
  <c r="T20" i="1"/>
  <c r="S20" i="1"/>
  <c r="P20" i="1"/>
  <c r="O20" i="1"/>
  <c r="N20" i="1"/>
  <c r="M20" i="1"/>
  <c r="L20" i="1"/>
  <c r="K20" i="1"/>
  <c r="J20" i="1"/>
  <c r="G20" i="1"/>
  <c r="F20" i="1"/>
  <c r="E20" i="1"/>
  <c r="D20" i="1"/>
  <c r="C20" i="1"/>
  <c r="B20" i="1"/>
  <c r="A20" i="1"/>
  <c r="AH19" i="1"/>
  <c r="AG19" i="1"/>
  <c r="AF19" i="1"/>
  <c r="AE19" i="1"/>
  <c r="AD19" i="1"/>
  <c r="AC19" i="1"/>
  <c r="AB19" i="1"/>
  <c r="Y19" i="1"/>
  <c r="X19" i="1"/>
  <c r="W19" i="1"/>
  <c r="V19" i="1"/>
  <c r="U19" i="1"/>
  <c r="T19" i="1"/>
  <c r="S19" i="1"/>
  <c r="P19" i="1"/>
  <c r="O19" i="1"/>
  <c r="N19" i="1"/>
  <c r="M19" i="1"/>
  <c r="L19" i="1"/>
  <c r="K19" i="1"/>
  <c r="J19" i="1"/>
  <c r="G19" i="1"/>
  <c r="F19" i="1"/>
  <c r="E19" i="1"/>
  <c r="D19" i="1"/>
  <c r="C19" i="1"/>
  <c r="B19" i="1"/>
  <c r="A19" i="1"/>
  <c r="AH18" i="1"/>
  <c r="AG18" i="1"/>
  <c r="AF18" i="1"/>
  <c r="AE18" i="1"/>
  <c r="AD18" i="1"/>
  <c r="AC18" i="1"/>
  <c r="AB18" i="1"/>
  <c r="Y18" i="1"/>
  <c r="X18" i="1"/>
  <c r="W18" i="1"/>
  <c r="V18" i="1"/>
  <c r="U18" i="1"/>
  <c r="T18" i="1"/>
  <c r="S18" i="1"/>
  <c r="P18" i="1"/>
  <c r="O18" i="1"/>
  <c r="N18" i="1"/>
  <c r="M18" i="1"/>
  <c r="L18" i="1"/>
  <c r="K18" i="1"/>
  <c r="J18" i="1"/>
  <c r="G18" i="1"/>
  <c r="F18" i="1"/>
  <c r="E18" i="1"/>
  <c r="D18" i="1"/>
  <c r="C18" i="1"/>
  <c r="B18" i="1"/>
  <c r="A18" i="1"/>
  <c r="AH17" i="1"/>
  <c r="AG17" i="1"/>
  <c r="AF17" i="1"/>
  <c r="AE17" i="1"/>
  <c r="AD17" i="1"/>
  <c r="AC17" i="1"/>
  <c r="AB17" i="1"/>
  <c r="Y17" i="1"/>
  <c r="X17" i="1"/>
  <c r="W17" i="1"/>
  <c r="V17" i="1"/>
  <c r="U17" i="1"/>
  <c r="T17" i="1"/>
  <c r="S17" i="1"/>
  <c r="P17" i="1"/>
  <c r="O17" i="1"/>
  <c r="N17" i="1"/>
  <c r="M17" i="1"/>
  <c r="L17" i="1"/>
  <c r="K17" i="1"/>
  <c r="J17" i="1"/>
  <c r="G17" i="1"/>
  <c r="F17" i="1"/>
  <c r="E17" i="1"/>
  <c r="D17" i="1"/>
  <c r="C17" i="1"/>
  <c r="B17" i="1"/>
  <c r="A17" i="1"/>
  <c r="AH16" i="1"/>
  <c r="AG16" i="1"/>
  <c r="AF16" i="1"/>
  <c r="AE16" i="1"/>
  <c r="AD16" i="1"/>
  <c r="AC16" i="1"/>
  <c r="AB16" i="1"/>
  <c r="Y16" i="1"/>
  <c r="X16" i="1"/>
  <c r="W16" i="1"/>
  <c r="V16" i="1"/>
  <c r="U16" i="1"/>
  <c r="T16" i="1"/>
  <c r="S16" i="1"/>
  <c r="P16" i="1"/>
  <c r="O16" i="1"/>
  <c r="N16" i="1"/>
  <c r="M16" i="1"/>
  <c r="L16" i="1"/>
  <c r="K16" i="1"/>
  <c r="J16" i="1"/>
  <c r="G16" i="1"/>
  <c r="F16" i="1"/>
  <c r="E16" i="1"/>
  <c r="D16" i="1"/>
  <c r="C16" i="1"/>
  <c r="B16" i="1"/>
  <c r="A16" i="1"/>
  <c r="AH11" i="1"/>
  <c r="AG11" i="1"/>
  <c r="AF11" i="1"/>
  <c r="AE11" i="1"/>
  <c r="AD11" i="1"/>
  <c r="AC11" i="1"/>
  <c r="AB11" i="1"/>
  <c r="Y11" i="1"/>
  <c r="X11" i="1"/>
  <c r="W11" i="1"/>
  <c r="V11" i="1"/>
  <c r="U11" i="1"/>
  <c r="T11" i="1"/>
  <c r="S11" i="1"/>
  <c r="P11" i="1"/>
  <c r="O11" i="1"/>
  <c r="N11" i="1"/>
  <c r="M11" i="1"/>
  <c r="L11" i="1"/>
  <c r="K11" i="1"/>
  <c r="J11" i="1"/>
  <c r="G11" i="1"/>
  <c r="F11" i="1"/>
  <c r="E11" i="1"/>
  <c r="D11" i="1"/>
  <c r="C11" i="1"/>
  <c r="B11" i="1"/>
  <c r="A11" i="1"/>
  <c r="AH10" i="1"/>
  <c r="AG10" i="1"/>
  <c r="AF10" i="1"/>
  <c r="AE10" i="1"/>
  <c r="AD10" i="1"/>
  <c r="AC10" i="1"/>
  <c r="AB10" i="1"/>
  <c r="Y10" i="1"/>
  <c r="X10" i="1"/>
  <c r="W10" i="1"/>
  <c r="V10" i="1"/>
  <c r="U10" i="1"/>
  <c r="T10" i="1"/>
  <c r="S10" i="1"/>
  <c r="P10" i="1"/>
  <c r="O10" i="1"/>
  <c r="N10" i="1"/>
  <c r="M10" i="1"/>
  <c r="L10" i="1"/>
  <c r="K10" i="1"/>
  <c r="J10" i="1"/>
  <c r="G10" i="1"/>
  <c r="F10" i="1"/>
  <c r="E10" i="1"/>
  <c r="D10" i="1"/>
  <c r="C10" i="1"/>
  <c r="B10" i="1"/>
  <c r="A10" i="1"/>
  <c r="AH9" i="1"/>
  <c r="AG9" i="1"/>
  <c r="AF9" i="1"/>
  <c r="AE9" i="1"/>
  <c r="AD9" i="1"/>
  <c r="AC9" i="1"/>
  <c r="AB9" i="1"/>
  <c r="Y9" i="1"/>
  <c r="X9" i="1"/>
  <c r="W9" i="1"/>
  <c r="V9" i="1"/>
  <c r="U9" i="1"/>
  <c r="T9" i="1"/>
  <c r="S9" i="1"/>
  <c r="P9" i="1"/>
  <c r="O9" i="1"/>
  <c r="N9" i="1"/>
  <c r="M9" i="1"/>
  <c r="L9" i="1"/>
  <c r="K9" i="1"/>
  <c r="J9" i="1"/>
  <c r="G9" i="1"/>
  <c r="F9" i="1"/>
  <c r="E9" i="1"/>
  <c r="D9" i="1"/>
  <c r="C9" i="1"/>
  <c r="B9" i="1"/>
  <c r="A9" i="1"/>
  <c r="AH8" i="1"/>
  <c r="AG8" i="1"/>
  <c r="AF8" i="1"/>
  <c r="AE8" i="1"/>
  <c r="AD8" i="1"/>
  <c r="AC8" i="1"/>
  <c r="AB8" i="1"/>
  <c r="Y8" i="1"/>
  <c r="X8" i="1"/>
  <c r="W8" i="1"/>
  <c r="V8" i="1"/>
  <c r="U8" i="1"/>
  <c r="T8" i="1"/>
  <c r="S8" i="1"/>
  <c r="P8" i="1"/>
  <c r="O8" i="1"/>
  <c r="N8" i="1"/>
  <c r="M8" i="1"/>
  <c r="L8" i="1"/>
  <c r="K8" i="1"/>
  <c r="J8" i="1"/>
  <c r="G8" i="1"/>
  <c r="F8" i="1"/>
  <c r="E8" i="1"/>
  <c r="D8" i="1"/>
  <c r="C8" i="1"/>
  <c r="B8" i="1"/>
  <c r="A8" i="1"/>
  <c r="AH7" i="1"/>
  <c r="AG7" i="1"/>
  <c r="AF7" i="1"/>
  <c r="AE7" i="1"/>
  <c r="AD7" i="1"/>
  <c r="AC7" i="1"/>
  <c r="AB7" i="1"/>
  <c r="Y7" i="1"/>
  <c r="X7" i="1"/>
  <c r="W7" i="1"/>
  <c r="V7" i="1"/>
  <c r="U7" i="1"/>
  <c r="T7" i="1"/>
  <c r="S7" i="1"/>
  <c r="P7" i="1"/>
  <c r="O7" i="1"/>
  <c r="N7" i="1"/>
  <c r="M7" i="1"/>
  <c r="L7" i="1"/>
  <c r="K7" i="1"/>
  <c r="J7" i="1"/>
  <c r="G7" i="1"/>
  <c r="F7" i="1"/>
  <c r="E7" i="1"/>
  <c r="D7" i="1"/>
  <c r="C7" i="1"/>
  <c r="B7" i="1"/>
  <c r="A7" i="1"/>
  <c r="AH6" i="1"/>
  <c r="AG6" i="1"/>
  <c r="AF6" i="1"/>
  <c r="AE6" i="1"/>
  <c r="AD6" i="1"/>
  <c r="AC6" i="1"/>
  <c r="AB6" i="1"/>
  <c r="Y6" i="1"/>
  <c r="X6" i="1"/>
  <c r="W6" i="1"/>
  <c r="V6" i="1"/>
  <c r="U6" i="1"/>
  <c r="T6" i="1"/>
  <c r="S6" i="1"/>
  <c r="P6" i="1"/>
  <c r="O6" i="1"/>
  <c r="N6" i="1"/>
  <c r="M6" i="1"/>
  <c r="L6" i="1"/>
  <c r="K6" i="1"/>
  <c r="J6" i="1"/>
  <c r="G6" i="1"/>
  <c r="F6" i="1"/>
  <c r="E6" i="1"/>
  <c r="D6" i="1"/>
  <c r="C6" i="1"/>
  <c r="B6" i="1"/>
  <c r="A6" i="1"/>
  <c r="B12" i="2" l="1"/>
  <c r="B14" i="2"/>
  <c r="B8" i="2"/>
  <c r="B16" i="2"/>
  <c r="B10" i="2"/>
  <c r="B18" i="2"/>
  <c r="B9" i="2"/>
  <c r="B11" i="2"/>
  <c r="B13" i="2"/>
  <c r="B15" i="2"/>
  <c r="B17" i="2"/>
  <c r="B19" i="2"/>
</calcChain>
</file>

<file path=xl/sharedStrings.xml><?xml version="1.0" encoding="utf-8"?>
<sst xmlns="http://schemas.openxmlformats.org/spreadsheetml/2006/main" count="124" uniqueCount="34">
  <si>
    <t>Sam</t>
  </si>
  <si>
    <t>Mar</t>
  </si>
  <si>
    <t>Mer</t>
  </si>
  <si>
    <t>Ven</t>
  </si>
  <si>
    <t>Novembre</t>
  </si>
  <si>
    <t>CALENDARIO ANNUALE AUTOMATIZZATO</t>
  </si>
  <si>
    <t>Anno:</t>
  </si>
  <si>
    <t>Gennaio</t>
  </si>
  <si>
    <t>Febbraio</t>
  </si>
  <si>
    <t>Marzo</t>
  </si>
  <si>
    <t>Aprile</t>
  </si>
  <si>
    <t>Istruzioni: Cambia l'anno nella cella B1 per aggiornarlo automaticamente ogni 12 mesi</t>
  </si>
  <si>
    <t>Giugno</t>
  </si>
  <si>
    <t>Luglio</t>
  </si>
  <si>
    <t>Agosto</t>
  </si>
  <si>
    <t>Settembre</t>
  </si>
  <si>
    <t>Ottobre</t>
  </si>
  <si>
    <t>Dicembre</t>
  </si>
  <si>
    <t>Così</t>
  </si>
  <si>
    <t>Lunedì</t>
  </si>
  <si>
    <t>Gi</t>
  </si>
  <si>
    <t>Panoramica del calendario annuale</t>
  </si>
  <si>
    <t>Mese</t>
  </si>
  <si>
    <t>Maggio</t>
  </si>
  <si>
    <t>Dattero</t>
  </si>
  <si>
    <t>Mese -Anno</t>
  </si>
  <si>
    <t>Gennaio 2025</t>
  </si>
  <si>
    <t>Febbraio 2025</t>
  </si>
  <si>
    <t>Aprile 2025</t>
  </si>
  <si>
    <t>Maggio 2025</t>
  </si>
  <si>
    <t>settembre 2025</t>
  </si>
  <si>
    <t>Ottobre 2025</t>
  </si>
  <si>
    <t>Novembre 2025</t>
  </si>
  <si>
    <t>Dicembre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</si>
</sst>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d\-mmm;@"/>
    <numFmt numFmtId="171" formatCode="[$-410]dd\-mmm\-yy;@"/>
    <numFmt numFmtId="172" formatCode="[$-410]mmm\-yy;@"/>
  </numFmts>
  <fonts count="11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sz val="10"/>
      <name val="Calibri"/>
      <family val="2"/>
    </font>
    <font>
      <i/>
      <sz val="10"/>
      <name val="Calibri"/>
      <family val="2"/>
    </font>
    <font>
      <b/>
      <sz val="16"/>
      <name val="Calibri"/>
      <family val="2"/>
    </font>
    <font>
      <b/>
      <sz val="12"/>
      <color theme="1"/>
      <name val="Calibri"/>
      <family val="2"/>
      <scheme val="minor"/>
    </font>
    <font>
      <sz val="20"/>
      <color theme="1"/>
      <name val="Algerian"/>
      <family val="5"/>
    </font>
    <font>
      <b/>
      <sz val="14"/>
      <name val="Algerian"/>
      <family val="5"/>
    </font>
    <font>
      <b/>
      <sz val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2F5597"/>
        <bgColor rgb="FF2F5597"/>
      </patternFill>
    </fill>
    <fill>
      <patternFill patternType="solid">
        <fgColor rgb="FF4472C4"/>
        <bgColor rgb="FF4472C4"/>
      </patternFill>
    </fill>
    <fill>
      <patternFill patternType="solid">
        <fgColor rgb="FFF2F2F2"/>
        <bgColor rgb="FFF2F2F2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0" fillId="0" borderId="0" xfId="0" applyFont="1"/>
    <xf numFmtId="0" fontId="8" fillId="5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0" fillId="0" borderId="0" xfId="0"/>
    <xf numFmtId="0" fontId="9" fillId="5" borderId="0" xfId="0" applyFont="1" applyFill="1" applyAlignment="1">
      <alignment horizontal="center"/>
    </xf>
    <xf numFmtId="171" fontId="0" fillId="0" borderId="0" xfId="0" applyNumberFormat="1" applyAlignment="1">
      <alignment horizontal="center"/>
    </xf>
    <xf numFmtId="172" fontId="0" fillId="0" borderId="0" xfId="0" applyNumberFormat="1" applyAlignment="1">
      <alignment horizontal="center"/>
    </xf>
  </cellXfs>
  <cellStyles count="1">
    <cellStyle name="Normal" xfId="0" builtinId="0"/>
  </cellStyles>
  <dxfs count="3">
    <dxf>
      <numFmt numFmtId="172" formatCode="[$-410]mmm\-yy;@"/>
      <alignment horizontal="center" vertical="bottom" textRotation="0" wrapText="0" indent="0" justifyLastLine="0" shrinkToFit="0" readingOrder="0"/>
    </dxf>
    <dxf>
      <numFmt numFmtId="171" formatCode="[$-410]dd\-mmm\-yy;@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D058F92-BBE0-4C30-BD67-B742F17B6A7C}" name="Table1" displayName="Table1" ref="A7:C19" totalsRowShown="0">
  <autoFilter ref="A7:C19" xr:uid="{2D058F92-BBE0-4C30-BD67-B742F17B6A7C}"/>
  <tableColumns count="3">
    <tableColumn id="1" xr3:uid="{CE7F30B3-F1A6-48C7-AD50-B153F69F3185}" name="Mese" dataDxfId="2"/>
    <tableColumn id="2" xr3:uid="{5EFB8F61-197D-49F8-93F3-7C636D95C011}" name="Dattero" dataDxfId="1"/>
    <tableColumn id="3" xr3:uid="{9B30EF77-C347-4FF2-A36E-F52AC2832631}" name="Mese -Anno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AK41"/>
  <sheetViews>
    <sheetView showGridLines="0" tabSelected="1" zoomScaleNormal="100" workbookViewId="0">
      <selection activeCell="J32" sqref="J32"/>
    </sheetView>
  </sheetViews>
  <sheetFormatPr baseColWidth="10" defaultColWidth="8.88671875" defaultRowHeight="14.4" x14ac:dyDescent="0.3"/>
  <cols>
    <col min="1" max="7" width="6.6640625" customWidth="1"/>
    <col min="8" max="9" width="3.33203125" customWidth="1"/>
    <col min="10" max="16" width="6.6640625" customWidth="1"/>
    <col min="17" max="18" width="3.33203125" customWidth="1"/>
    <col min="19" max="25" width="6.6640625" customWidth="1"/>
    <col min="26" max="27" width="3.33203125" customWidth="1"/>
    <col min="28" max="34" width="6.6640625" customWidth="1"/>
    <col min="35" max="36" width="1.44140625" customWidth="1"/>
  </cols>
  <sheetData>
    <row r="1" spans="1:37" ht="22.8" customHeight="1" x14ac:dyDescent="0.3">
      <c r="A1" s="11" t="s">
        <v>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</row>
    <row r="2" spans="1:37" ht="15.6" x14ac:dyDescent="0.3">
      <c r="A2" s="10" t="s">
        <v>6</v>
      </c>
      <c r="B2" s="1">
        <v>2025</v>
      </c>
    </row>
    <row r="4" spans="1:37" ht="18" x14ac:dyDescent="0.35">
      <c r="A4" s="12" t="s">
        <v>7</v>
      </c>
      <c r="B4" s="13"/>
      <c r="C4" s="13"/>
      <c r="D4" s="13"/>
      <c r="E4" s="13"/>
      <c r="F4" s="13"/>
      <c r="G4" s="13"/>
      <c r="J4" s="12" t="s">
        <v>8</v>
      </c>
      <c r="K4" s="13"/>
      <c r="L4" s="13"/>
      <c r="M4" s="13"/>
      <c r="N4" s="13"/>
      <c r="O4" s="13"/>
      <c r="P4" s="13"/>
      <c r="S4" s="12" t="s">
        <v>9</v>
      </c>
      <c r="T4" s="13"/>
      <c r="U4" s="13"/>
      <c r="V4" s="13"/>
      <c r="W4" s="13"/>
      <c r="X4" s="13"/>
      <c r="Y4" s="13"/>
      <c r="AB4" s="12" t="s">
        <v>10</v>
      </c>
      <c r="AC4" s="13"/>
      <c r="AD4" s="13"/>
      <c r="AE4" s="13"/>
      <c r="AF4" s="13"/>
      <c r="AG4" s="13"/>
      <c r="AH4" s="13"/>
      <c r="AK4" s="7" t="s">
        <v>11</v>
      </c>
    </row>
    <row r="5" spans="1:37" x14ac:dyDescent="0.3">
      <c r="A5" s="2" t="s">
        <v>18</v>
      </c>
      <c r="B5" s="2" t="s">
        <v>19</v>
      </c>
      <c r="C5" s="2" t="s">
        <v>1</v>
      </c>
      <c r="D5" s="2" t="s">
        <v>2</v>
      </c>
      <c r="E5" s="2" t="s">
        <v>20</v>
      </c>
      <c r="F5" s="2" t="s">
        <v>3</v>
      </c>
      <c r="G5" s="2" t="s">
        <v>0</v>
      </c>
      <c r="J5" s="2" t="s">
        <v>18</v>
      </c>
      <c r="K5" s="2" t="s">
        <v>19</v>
      </c>
      <c r="L5" s="2" t="s">
        <v>1</v>
      </c>
      <c r="M5" s="2" t="s">
        <v>2</v>
      </c>
      <c r="N5" s="2" t="s">
        <v>20</v>
      </c>
      <c r="O5" s="2" t="s">
        <v>3</v>
      </c>
      <c r="P5" s="2" t="s">
        <v>0</v>
      </c>
      <c r="S5" s="2" t="s">
        <v>18</v>
      </c>
      <c r="T5" s="2" t="s">
        <v>19</v>
      </c>
      <c r="U5" s="2" t="s">
        <v>1</v>
      </c>
      <c r="V5" s="2" t="s">
        <v>2</v>
      </c>
      <c r="W5" s="2" t="s">
        <v>20</v>
      </c>
      <c r="X5" s="2" t="s">
        <v>3</v>
      </c>
      <c r="Y5" s="2" t="s">
        <v>0</v>
      </c>
      <c r="AB5" s="2" t="s">
        <v>18</v>
      </c>
      <c r="AC5" s="2" t="s">
        <v>19</v>
      </c>
      <c r="AD5" s="2" t="s">
        <v>1</v>
      </c>
      <c r="AE5" s="2" t="s">
        <v>2</v>
      </c>
      <c r="AF5" s="2" t="s">
        <v>20</v>
      </c>
      <c r="AG5" s="2" t="s">
        <v>3</v>
      </c>
      <c r="AH5" s="2" t="s">
        <v>0</v>
      </c>
    </row>
    <row r="6" spans="1:37" x14ac:dyDescent="0.3">
      <c r="A6" s="3" t="str">
        <f>IF(AND(DATE($B$2,1,1)-WEEKDAY(DATE($B$2,1,1),1)+1+0&gt;=DATE($B$2,1,1),DATE($B$2,1,1)-WEEKDAY(DATE($B$2,1,1),1)+1+0&lt;=EOMONTH(DATE($B$2,1,1),0)),DAY(DATE($B$2,1,1)-WEEKDAY(DATE($B$2,1,1),1)+1+0),"")</f>
        <v/>
      </c>
      <c r="B6" s="4" t="str">
        <f>IF(AND(DATE($B$2,1,1)-WEEKDAY(DATE($B$2,1,1),1)+1+1&gt;=DATE($B$2,1,1),DATE($B$2,1,1)-WEEKDAY(DATE($B$2,1,1),1)+1+1&lt;=EOMONTH(DATE($B$2,1,1),0)),DAY(DATE($B$2,1,1)-WEEKDAY(DATE($B$2,1,1),1)+1+1),"")</f>
        <v/>
      </c>
      <c r="C6" s="4" t="str">
        <f>IF(AND(DATE($B$2,1,1)-WEEKDAY(DATE($B$2,1,1),1)+1+2&gt;=DATE($B$2,1,1),DATE($B$2,1,1)-WEEKDAY(DATE($B$2,1,1),1)+1+2&lt;=EOMONTH(DATE($B$2,1,1),0)),DAY(DATE($B$2,1,1)-WEEKDAY(DATE($B$2,1,1),1)+1+2),"")</f>
        <v/>
      </c>
      <c r="D6" s="4">
        <f>IF(AND(DATE($B$2,1,1)-WEEKDAY(DATE($B$2,1,1),1)+1+3&gt;=DATE($B$2,1,1),DATE($B$2,1,1)-WEEKDAY(DATE($B$2,1,1),1)+1+3&lt;=EOMONTH(DATE($B$2,1,1),0)),DAY(DATE($B$2,1,1)-WEEKDAY(DATE($B$2,1,1),1)+1+3),"")</f>
        <v>1</v>
      </c>
      <c r="E6" s="4">
        <f>IF(AND(DATE($B$2,1,1)-WEEKDAY(DATE($B$2,1,1),1)+1+4&gt;=DATE($B$2,1,1),DATE($B$2,1,1)-WEEKDAY(DATE($B$2,1,1),1)+1+4&lt;=EOMONTH(DATE($B$2,1,1),0)),DAY(DATE($B$2,1,1)-WEEKDAY(DATE($B$2,1,1),1)+1+4),"")</f>
        <v>2</v>
      </c>
      <c r="F6" s="4">
        <f>IF(AND(DATE($B$2,1,1)-WEEKDAY(DATE($B$2,1,1),1)+1+5&gt;=DATE($B$2,1,1),DATE($B$2,1,1)-WEEKDAY(DATE($B$2,1,1),1)+1+5&lt;=EOMONTH(DATE($B$2,1,1),0)),DAY(DATE($B$2,1,1)-WEEKDAY(DATE($B$2,1,1),1)+1+5),"")</f>
        <v>3</v>
      </c>
      <c r="G6" s="3">
        <f>IF(AND(DATE($B$2,1,1)-WEEKDAY(DATE($B$2,1,1),1)+1+6&gt;=DATE($B$2,1,1),DATE($B$2,1,1)-WEEKDAY(DATE($B$2,1,1),1)+1+6&lt;=EOMONTH(DATE($B$2,1,1),0)),DAY(DATE($B$2,1,1)-WEEKDAY(DATE($B$2,1,1),1)+1+6),"")</f>
        <v>4</v>
      </c>
      <c r="J6" s="3" t="str">
        <f>IF(AND(DATE($B$2,2,1)-WEEKDAY(DATE($B$2,2,1),1)+1+0&gt;=DATE($B$2,2,1),DATE($B$2,2,1)-WEEKDAY(DATE($B$2,2,1),1)+1+0&lt;=EOMONTH(DATE($B$2,2,1),0)),DAY(DATE($B$2,2,1)-WEEKDAY(DATE($B$2,2,1),1)+1+0),"")</f>
        <v/>
      </c>
      <c r="K6" s="4" t="str">
        <f>IF(AND(DATE($B$2,2,1)-WEEKDAY(DATE($B$2,2,1),1)+1+1&gt;=DATE($B$2,2,1),DATE($B$2,2,1)-WEEKDAY(DATE($B$2,2,1),1)+1+1&lt;=EOMONTH(DATE($B$2,2,1),0)),DAY(DATE($B$2,2,1)-WEEKDAY(DATE($B$2,2,1),1)+1+1),"")</f>
        <v/>
      </c>
      <c r="L6" s="4" t="str">
        <f>IF(AND(DATE($B$2,2,1)-WEEKDAY(DATE($B$2,2,1),1)+1+2&gt;=DATE($B$2,2,1),DATE($B$2,2,1)-WEEKDAY(DATE($B$2,2,1),1)+1+2&lt;=EOMONTH(DATE($B$2,2,1),0)),DAY(DATE($B$2,2,1)-WEEKDAY(DATE($B$2,2,1),1)+1+2),"")</f>
        <v/>
      </c>
      <c r="M6" s="4" t="str">
        <f>IF(AND(DATE($B$2,2,1)-WEEKDAY(DATE($B$2,2,1),1)+1+3&gt;=DATE($B$2,2,1),DATE($B$2,2,1)-WEEKDAY(DATE($B$2,2,1),1)+1+3&lt;=EOMONTH(DATE($B$2,2,1),0)),DAY(DATE($B$2,2,1)-WEEKDAY(DATE($B$2,2,1),1)+1+3),"")</f>
        <v/>
      </c>
      <c r="N6" s="4" t="str">
        <f>IF(AND(DATE($B$2,2,1)-WEEKDAY(DATE($B$2,2,1),1)+1+4&gt;=DATE($B$2,2,1),DATE($B$2,2,1)-WEEKDAY(DATE($B$2,2,1),1)+1+4&lt;=EOMONTH(DATE($B$2,2,1),0)),DAY(DATE($B$2,2,1)-WEEKDAY(DATE($B$2,2,1),1)+1+4),"")</f>
        <v/>
      </c>
      <c r="O6" s="4" t="str">
        <f>IF(AND(DATE($B$2,2,1)-WEEKDAY(DATE($B$2,2,1),1)+1+5&gt;=DATE($B$2,2,1),DATE($B$2,2,1)-WEEKDAY(DATE($B$2,2,1),1)+1+5&lt;=EOMONTH(DATE($B$2,2,1),0)),DAY(DATE($B$2,2,1)-WEEKDAY(DATE($B$2,2,1),1)+1+5),"")</f>
        <v/>
      </c>
      <c r="P6" s="3">
        <f>IF(AND(DATE($B$2,2,1)-WEEKDAY(DATE($B$2,2,1),1)+1+6&gt;=DATE($B$2,2,1),DATE($B$2,2,1)-WEEKDAY(DATE($B$2,2,1),1)+1+6&lt;=EOMONTH(DATE($B$2,2,1),0)),DAY(DATE($B$2,2,1)-WEEKDAY(DATE($B$2,2,1),1)+1+6),"")</f>
        <v>1</v>
      </c>
      <c r="S6" s="3" t="str">
        <f>IF(AND(DATE($B$2,3,1)-WEEKDAY(DATE($B$2,3,1),1)+1+0&gt;=DATE($B$2,3,1),DATE($B$2,3,1)-WEEKDAY(DATE($B$2,3,1),1)+1+0&lt;=EOMONTH(DATE($B$2,3,1),0)),DAY(DATE($B$2,3,1)-WEEKDAY(DATE($B$2,3,1),1)+1+0),"")</f>
        <v/>
      </c>
      <c r="T6" s="4" t="str">
        <f>IF(AND(DATE($B$2,3,1)-WEEKDAY(DATE($B$2,3,1),1)+1+1&gt;=DATE($B$2,3,1),DATE($B$2,3,1)-WEEKDAY(DATE($B$2,3,1),1)+1+1&lt;=EOMONTH(DATE($B$2,3,1),0)),DAY(DATE($B$2,3,1)-WEEKDAY(DATE($B$2,3,1),1)+1+1),"")</f>
        <v/>
      </c>
      <c r="U6" s="4" t="str">
        <f>IF(AND(DATE($B$2,3,1)-WEEKDAY(DATE($B$2,3,1),1)+1+2&gt;=DATE($B$2,3,1),DATE($B$2,3,1)-WEEKDAY(DATE($B$2,3,1),1)+1+2&lt;=EOMONTH(DATE($B$2,3,1),0)),DAY(DATE($B$2,3,1)-WEEKDAY(DATE($B$2,3,1),1)+1+2),"")</f>
        <v/>
      </c>
      <c r="V6" s="4" t="str">
        <f>IF(AND(DATE($B$2,3,1)-WEEKDAY(DATE($B$2,3,1),1)+1+3&gt;=DATE($B$2,3,1),DATE($B$2,3,1)-WEEKDAY(DATE($B$2,3,1),1)+1+3&lt;=EOMONTH(DATE($B$2,3,1),0)),DAY(DATE($B$2,3,1)-WEEKDAY(DATE($B$2,3,1),1)+1+3),"")</f>
        <v/>
      </c>
      <c r="W6" s="4" t="str">
        <f>IF(AND(DATE($B$2,3,1)-WEEKDAY(DATE($B$2,3,1),1)+1+4&gt;=DATE($B$2,3,1),DATE($B$2,3,1)-WEEKDAY(DATE($B$2,3,1),1)+1+4&lt;=EOMONTH(DATE($B$2,3,1),0)),DAY(DATE($B$2,3,1)-WEEKDAY(DATE($B$2,3,1),1)+1+4),"")</f>
        <v/>
      </c>
      <c r="X6" s="4" t="str">
        <f>IF(AND(DATE($B$2,3,1)-WEEKDAY(DATE($B$2,3,1),1)+1+5&gt;=DATE($B$2,3,1),DATE($B$2,3,1)-WEEKDAY(DATE($B$2,3,1),1)+1+5&lt;=EOMONTH(DATE($B$2,3,1),0)),DAY(DATE($B$2,3,1)-WEEKDAY(DATE($B$2,3,1),1)+1+5),"")</f>
        <v/>
      </c>
      <c r="Y6" s="3">
        <f>IF(AND(DATE($B$2,3,1)-WEEKDAY(DATE($B$2,3,1),1)+1+6&gt;=DATE($B$2,3,1),DATE($B$2,3,1)-WEEKDAY(DATE($B$2,3,1),1)+1+6&lt;=EOMONTH(DATE($B$2,3,1),0)),DAY(DATE($B$2,3,1)-WEEKDAY(DATE($B$2,3,1),1)+1+6),"")</f>
        <v>1</v>
      </c>
      <c r="AB6" s="3" t="str">
        <f>IF(AND(DATE($B$2,4,1)-WEEKDAY(DATE($B$2,4,1),1)+1+0&gt;=DATE($B$2,4,1),DATE($B$2,4,1)-WEEKDAY(DATE($B$2,4,1),1)+1+0&lt;=EOMONTH(DATE($B$2,4,1),0)),DAY(DATE($B$2,4,1)-WEEKDAY(DATE($B$2,4,1),1)+1+0),"")</f>
        <v/>
      </c>
      <c r="AC6" s="4" t="str">
        <f>IF(AND(DATE($B$2,4,1)-WEEKDAY(DATE($B$2,4,1),1)+1+1&gt;=DATE($B$2,4,1),DATE($B$2,4,1)-WEEKDAY(DATE($B$2,4,1),1)+1+1&lt;=EOMONTH(DATE($B$2,4,1),0)),DAY(DATE($B$2,4,1)-WEEKDAY(DATE($B$2,4,1),1)+1+1),"")</f>
        <v/>
      </c>
      <c r="AD6" s="4">
        <f>IF(AND(DATE($B$2,4,1)-WEEKDAY(DATE($B$2,4,1),1)+1+2&gt;=DATE($B$2,4,1),DATE($B$2,4,1)-WEEKDAY(DATE($B$2,4,1),1)+1+2&lt;=EOMONTH(DATE($B$2,4,1),0)),DAY(DATE($B$2,4,1)-WEEKDAY(DATE($B$2,4,1),1)+1+2),"")</f>
        <v>1</v>
      </c>
      <c r="AE6" s="4">
        <f>IF(AND(DATE($B$2,4,1)-WEEKDAY(DATE($B$2,4,1),1)+1+3&gt;=DATE($B$2,4,1),DATE($B$2,4,1)-WEEKDAY(DATE($B$2,4,1),1)+1+3&lt;=EOMONTH(DATE($B$2,4,1),0)),DAY(DATE($B$2,4,1)-WEEKDAY(DATE($B$2,4,1),1)+1+3),"")</f>
        <v>2</v>
      </c>
      <c r="AF6" s="4">
        <f>IF(AND(DATE($B$2,4,1)-WEEKDAY(DATE($B$2,4,1),1)+1+4&gt;=DATE($B$2,4,1),DATE($B$2,4,1)-WEEKDAY(DATE($B$2,4,1),1)+1+4&lt;=EOMONTH(DATE($B$2,4,1),0)),DAY(DATE($B$2,4,1)-WEEKDAY(DATE($B$2,4,1),1)+1+4),"")</f>
        <v>3</v>
      </c>
      <c r="AG6" s="4">
        <f>IF(AND(DATE($B$2,4,1)-WEEKDAY(DATE($B$2,4,1),1)+1+5&gt;=DATE($B$2,4,1),DATE($B$2,4,1)-WEEKDAY(DATE($B$2,4,1),1)+1+5&lt;=EOMONTH(DATE($B$2,4,1),0)),DAY(DATE($B$2,4,1)-WEEKDAY(DATE($B$2,4,1),1)+1+5),"")</f>
        <v>4</v>
      </c>
      <c r="AH6" s="3">
        <f>IF(AND(DATE($B$2,4,1)-WEEKDAY(DATE($B$2,4,1),1)+1+6&gt;=DATE($B$2,4,1),DATE($B$2,4,1)-WEEKDAY(DATE($B$2,4,1),1)+1+6&lt;=EOMONTH(DATE($B$2,4,1),0)),DAY(DATE($B$2,4,1)-WEEKDAY(DATE($B$2,4,1),1)+1+6),"")</f>
        <v>5</v>
      </c>
    </row>
    <row r="7" spans="1:37" x14ac:dyDescent="0.3">
      <c r="A7" s="3">
        <f>IF(AND(DATE($B$2,1,1)-WEEKDAY(DATE($B$2,1,1),1)+1+7&gt;=DATE($B$2,1,1),DATE($B$2,1,1)-WEEKDAY(DATE($B$2,1,1),1)+1+7&lt;=EOMONTH(DATE($B$2,1,1),0)),DAY(DATE($B$2,1,1)-WEEKDAY(DATE($B$2,1,1),1)+1+7),"")</f>
        <v>5</v>
      </c>
      <c r="B7" s="4">
        <f>IF(AND(DATE($B$2,1,1)-WEEKDAY(DATE($B$2,1,1),1)+1+8&gt;=DATE($B$2,1,1),DATE($B$2,1,1)-WEEKDAY(DATE($B$2,1,1),1)+1+8&lt;=EOMONTH(DATE($B$2,1,1),0)),DAY(DATE($B$2,1,1)-WEEKDAY(DATE($B$2,1,1),1)+1+8),"")</f>
        <v>6</v>
      </c>
      <c r="C7" s="4">
        <f>IF(AND(DATE($B$2,1,1)-WEEKDAY(DATE($B$2,1,1),1)+1+9&gt;=DATE($B$2,1,1),DATE($B$2,1,1)-WEEKDAY(DATE($B$2,1,1),1)+1+9&lt;=EOMONTH(DATE($B$2,1,1),0)),DAY(DATE($B$2,1,1)-WEEKDAY(DATE($B$2,1,1),1)+1+9),"")</f>
        <v>7</v>
      </c>
      <c r="D7" s="4">
        <f>IF(AND(DATE($B$2,1,1)-WEEKDAY(DATE($B$2,1,1),1)+1+10&gt;=DATE($B$2,1,1),DATE($B$2,1,1)-WEEKDAY(DATE($B$2,1,1),1)+1+10&lt;=EOMONTH(DATE($B$2,1,1),0)),DAY(DATE($B$2,1,1)-WEEKDAY(DATE($B$2,1,1),1)+1+10),"")</f>
        <v>8</v>
      </c>
      <c r="E7" s="4">
        <f>IF(AND(DATE($B$2,1,1)-WEEKDAY(DATE($B$2,1,1),1)+1+11&gt;=DATE($B$2,1,1),DATE($B$2,1,1)-WEEKDAY(DATE($B$2,1,1),1)+1+11&lt;=EOMONTH(DATE($B$2,1,1),0)),DAY(DATE($B$2,1,1)-WEEKDAY(DATE($B$2,1,1),1)+1+11),"")</f>
        <v>9</v>
      </c>
      <c r="F7" s="4">
        <f>IF(AND(DATE($B$2,1,1)-WEEKDAY(DATE($B$2,1,1),1)+1+12&gt;=DATE($B$2,1,1),DATE($B$2,1,1)-WEEKDAY(DATE($B$2,1,1),1)+1+12&lt;=EOMONTH(DATE($B$2,1,1),0)),DAY(DATE($B$2,1,1)-WEEKDAY(DATE($B$2,1,1),1)+1+12),"")</f>
        <v>10</v>
      </c>
      <c r="G7" s="3">
        <f>IF(AND(DATE($B$2,1,1)-WEEKDAY(DATE($B$2,1,1),1)+1+13&gt;=DATE($B$2,1,1),DATE($B$2,1,1)-WEEKDAY(DATE($B$2,1,1),1)+1+13&lt;=EOMONTH(DATE($B$2,1,1),0)),DAY(DATE($B$2,1,1)-WEEKDAY(DATE($B$2,1,1),1)+1+13),"")</f>
        <v>11</v>
      </c>
      <c r="J7" s="3">
        <f>IF(AND(DATE($B$2,2,1)-WEEKDAY(DATE($B$2,2,1),1)+1+7&gt;=DATE($B$2,2,1),DATE($B$2,2,1)-WEEKDAY(DATE($B$2,2,1),1)+1+7&lt;=EOMONTH(DATE($B$2,2,1),0)),DAY(DATE($B$2,2,1)-WEEKDAY(DATE($B$2,2,1),1)+1+7),"")</f>
        <v>2</v>
      </c>
      <c r="K7" s="4">
        <f>IF(AND(DATE($B$2,2,1)-WEEKDAY(DATE($B$2,2,1),1)+1+8&gt;=DATE($B$2,2,1),DATE($B$2,2,1)-WEEKDAY(DATE($B$2,2,1),1)+1+8&lt;=EOMONTH(DATE($B$2,2,1),0)),DAY(DATE($B$2,2,1)-WEEKDAY(DATE($B$2,2,1),1)+1+8),"")</f>
        <v>3</v>
      </c>
      <c r="L7" s="4">
        <f>IF(AND(DATE($B$2,2,1)-WEEKDAY(DATE($B$2,2,1),1)+1+9&gt;=DATE($B$2,2,1),DATE($B$2,2,1)-WEEKDAY(DATE($B$2,2,1),1)+1+9&lt;=EOMONTH(DATE($B$2,2,1),0)),DAY(DATE($B$2,2,1)-WEEKDAY(DATE($B$2,2,1),1)+1+9),"")</f>
        <v>4</v>
      </c>
      <c r="M7" s="4">
        <f>IF(AND(DATE($B$2,2,1)-WEEKDAY(DATE($B$2,2,1),1)+1+10&gt;=DATE($B$2,2,1),DATE($B$2,2,1)-WEEKDAY(DATE($B$2,2,1),1)+1+10&lt;=EOMONTH(DATE($B$2,2,1),0)),DAY(DATE($B$2,2,1)-WEEKDAY(DATE($B$2,2,1),1)+1+10),"")</f>
        <v>5</v>
      </c>
      <c r="N7" s="4">
        <f>IF(AND(DATE($B$2,2,1)-WEEKDAY(DATE($B$2,2,1),1)+1+11&gt;=DATE($B$2,2,1),DATE($B$2,2,1)-WEEKDAY(DATE($B$2,2,1),1)+1+11&lt;=EOMONTH(DATE($B$2,2,1),0)),DAY(DATE($B$2,2,1)-WEEKDAY(DATE($B$2,2,1),1)+1+11),"")</f>
        <v>6</v>
      </c>
      <c r="O7" s="4">
        <f>IF(AND(DATE($B$2,2,1)-WEEKDAY(DATE($B$2,2,1),1)+1+12&gt;=DATE($B$2,2,1),DATE($B$2,2,1)-WEEKDAY(DATE($B$2,2,1),1)+1+12&lt;=EOMONTH(DATE($B$2,2,1),0)),DAY(DATE($B$2,2,1)-WEEKDAY(DATE($B$2,2,1),1)+1+12),"")</f>
        <v>7</v>
      </c>
      <c r="P7" s="3">
        <f>IF(AND(DATE($B$2,2,1)-WEEKDAY(DATE($B$2,2,1),1)+1+13&gt;=DATE($B$2,2,1),DATE($B$2,2,1)-WEEKDAY(DATE($B$2,2,1),1)+1+13&lt;=EOMONTH(DATE($B$2,2,1),0)),DAY(DATE($B$2,2,1)-WEEKDAY(DATE($B$2,2,1),1)+1+13),"")</f>
        <v>8</v>
      </c>
      <c r="S7" s="3">
        <f>IF(AND(DATE($B$2,3,1)-WEEKDAY(DATE($B$2,3,1),1)+1+7&gt;=DATE($B$2,3,1),DATE($B$2,3,1)-WEEKDAY(DATE($B$2,3,1),1)+1+7&lt;=EOMONTH(DATE($B$2,3,1),0)),DAY(DATE($B$2,3,1)-WEEKDAY(DATE($B$2,3,1),1)+1+7),"")</f>
        <v>2</v>
      </c>
      <c r="T7" s="4">
        <f>IF(AND(DATE($B$2,3,1)-WEEKDAY(DATE($B$2,3,1),1)+1+8&gt;=DATE($B$2,3,1),DATE($B$2,3,1)-WEEKDAY(DATE($B$2,3,1),1)+1+8&lt;=EOMONTH(DATE($B$2,3,1),0)),DAY(DATE($B$2,3,1)-WEEKDAY(DATE($B$2,3,1),1)+1+8),"")</f>
        <v>3</v>
      </c>
      <c r="U7" s="4">
        <f>IF(AND(DATE($B$2,3,1)-WEEKDAY(DATE($B$2,3,1),1)+1+9&gt;=DATE($B$2,3,1),DATE($B$2,3,1)-WEEKDAY(DATE($B$2,3,1),1)+1+9&lt;=EOMONTH(DATE($B$2,3,1),0)),DAY(DATE($B$2,3,1)-WEEKDAY(DATE($B$2,3,1),1)+1+9),"")</f>
        <v>4</v>
      </c>
      <c r="V7" s="4">
        <f>IF(AND(DATE($B$2,3,1)-WEEKDAY(DATE($B$2,3,1),1)+1+10&gt;=DATE($B$2,3,1),DATE($B$2,3,1)-WEEKDAY(DATE($B$2,3,1),1)+1+10&lt;=EOMONTH(DATE($B$2,3,1),0)),DAY(DATE($B$2,3,1)-WEEKDAY(DATE($B$2,3,1),1)+1+10),"")</f>
        <v>5</v>
      </c>
      <c r="W7" s="4">
        <f>IF(AND(DATE($B$2,3,1)-WEEKDAY(DATE($B$2,3,1),1)+1+11&gt;=DATE($B$2,3,1),DATE($B$2,3,1)-WEEKDAY(DATE($B$2,3,1),1)+1+11&lt;=EOMONTH(DATE($B$2,3,1),0)),DAY(DATE($B$2,3,1)-WEEKDAY(DATE($B$2,3,1),1)+1+11),"")</f>
        <v>6</v>
      </c>
      <c r="X7" s="4">
        <f>IF(AND(DATE($B$2,3,1)-WEEKDAY(DATE($B$2,3,1),1)+1+12&gt;=DATE($B$2,3,1),DATE($B$2,3,1)-WEEKDAY(DATE($B$2,3,1),1)+1+12&lt;=EOMONTH(DATE($B$2,3,1),0)),DAY(DATE($B$2,3,1)-WEEKDAY(DATE($B$2,3,1),1)+1+12),"")</f>
        <v>7</v>
      </c>
      <c r="Y7" s="3">
        <f>IF(AND(DATE($B$2,3,1)-WEEKDAY(DATE($B$2,3,1),1)+1+13&gt;=DATE($B$2,3,1),DATE($B$2,3,1)-WEEKDAY(DATE($B$2,3,1),1)+1+13&lt;=EOMONTH(DATE($B$2,3,1),0)),DAY(DATE($B$2,3,1)-WEEKDAY(DATE($B$2,3,1),1)+1+13),"")</f>
        <v>8</v>
      </c>
      <c r="AB7" s="3">
        <f>IF(AND(DATE($B$2,4,1)-WEEKDAY(DATE($B$2,4,1),1)+1+7&gt;=DATE($B$2,4,1),DATE($B$2,4,1)-WEEKDAY(DATE($B$2,4,1),1)+1+7&lt;=EOMONTH(DATE($B$2,4,1),0)),DAY(DATE($B$2,4,1)-WEEKDAY(DATE($B$2,4,1),1)+1+7),"")</f>
        <v>6</v>
      </c>
      <c r="AC7" s="4">
        <f>IF(AND(DATE($B$2,4,1)-WEEKDAY(DATE($B$2,4,1),1)+1+8&gt;=DATE($B$2,4,1),DATE($B$2,4,1)-WEEKDAY(DATE($B$2,4,1),1)+1+8&lt;=EOMONTH(DATE($B$2,4,1),0)),DAY(DATE($B$2,4,1)-WEEKDAY(DATE($B$2,4,1),1)+1+8),"")</f>
        <v>7</v>
      </c>
      <c r="AD7" s="4">
        <f>IF(AND(DATE($B$2,4,1)-WEEKDAY(DATE($B$2,4,1),1)+1+9&gt;=DATE($B$2,4,1),DATE($B$2,4,1)-WEEKDAY(DATE($B$2,4,1),1)+1+9&lt;=EOMONTH(DATE($B$2,4,1),0)),DAY(DATE($B$2,4,1)-WEEKDAY(DATE($B$2,4,1),1)+1+9),"")</f>
        <v>8</v>
      </c>
      <c r="AE7" s="4">
        <f>IF(AND(DATE($B$2,4,1)-WEEKDAY(DATE($B$2,4,1),1)+1+10&gt;=DATE($B$2,4,1),DATE($B$2,4,1)-WEEKDAY(DATE($B$2,4,1),1)+1+10&lt;=EOMONTH(DATE($B$2,4,1),0)),DAY(DATE($B$2,4,1)-WEEKDAY(DATE($B$2,4,1),1)+1+10),"")</f>
        <v>9</v>
      </c>
      <c r="AF7" s="4">
        <f>IF(AND(DATE($B$2,4,1)-WEEKDAY(DATE($B$2,4,1),1)+1+11&gt;=DATE($B$2,4,1),DATE($B$2,4,1)-WEEKDAY(DATE($B$2,4,1),1)+1+11&lt;=EOMONTH(DATE($B$2,4,1),0)),DAY(DATE($B$2,4,1)-WEEKDAY(DATE($B$2,4,1),1)+1+11),"")</f>
        <v>10</v>
      </c>
      <c r="AG7" s="4">
        <f>IF(AND(DATE($B$2,4,1)-WEEKDAY(DATE($B$2,4,1),1)+1+12&gt;=DATE($B$2,4,1),DATE($B$2,4,1)-WEEKDAY(DATE($B$2,4,1),1)+1+12&lt;=EOMONTH(DATE($B$2,4,1),0)),DAY(DATE($B$2,4,1)-WEEKDAY(DATE($B$2,4,1),1)+1+12),"")</f>
        <v>11</v>
      </c>
      <c r="AH7" s="3">
        <f>IF(AND(DATE($B$2,4,1)-WEEKDAY(DATE($B$2,4,1),1)+1+13&gt;=DATE($B$2,4,1),DATE($B$2,4,1)-WEEKDAY(DATE($B$2,4,1),1)+1+13&lt;=EOMONTH(DATE($B$2,4,1),0)),DAY(DATE($B$2,4,1)-WEEKDAY(DATE($B$2,4,1),1)+1+13),"")</f>
        <v>12</v>
      </c>
    </row>
    <row r="8" spans="1:37" x14ac:dyDescent="0.3">
      <c r="A8" s="3">
        <f>IF(AND(DATE($B$2,1,1)-WEEKDAY(DATE($B$2,1,1),1)+1+14&gt;=DATE($B$2,1,1),DATE($B$2,1,1)-WEEKDAY(DATE($B$2,1,1),1)+1+14&lt;=EOMONTH(DATE($B$2,1,1),0)),DAY(DATE($B$2,1,1)-WEEKDAY(DATE($B$2,1,1),1)+1+14),"")</f>
        <v>12</v>
      </c>
      <c r="B8" s="4">
        <f>IF(AND(DATE($B$2,1,1)-WEEKDAY(DATE($B$2,1,1),1)+1+15&gt;=DATE($B$2,1,1),DATE($B$2,1,1)-WEEKDAY(DATE($B$2,1,1),1)+1+15&lt;=EOMONTH(DATE($B$2,1,1),0)),DAY(DATE($B$2,1,1)-WEEKDAY(DATE($B$2,1,1),1)+1+15),"")</f>
        <v>13</v>
      </c>
      <c r="C8" s="4">
        <f>IF(AND(DATE($B$2,1,1)-WEEKDAY(DATE($B$2,1,1),1)+1+16&gt;=DATE($B$2,1,1),DATE($B$2,1,1)-WEEKDAY(DATE($B$2,1,1),1)+1+16&lt;=EOMONTH(DATE($B$2,1,1),0)),DAY(DATE($B$2,1,1)-WEEKDAY(DATE($B$2,1,1),1)+1+16),"")</f>
        <v>14</v>
      </c>
      <c r="D8" s="4">
        <f>IF(AND(DATE($B$2,1,1)-WEEKDAY(DATE($B$2,1,1),1)+1+17&gt;=DATE($B$2,1,1),DATE($B$2,1,1)-WEEKDAY(DATE($B$2,1,1),1)+1+17&lt;=EOMONTH(DATE($B$2,1,1),0)),DAY(DATE($B$2,1,1)-WEEKDAY(DATE($B$2,1,1),1)+1+17),"")</f>
        <v>15</v>
      </c>
      <c r="E8" s="4">
        <f>IF(AND(DATE($B$2,1,1)-WEEKDAY(DATE($B$2,1,1),1)+1+18&gt;=DATE($B$2,1,1),DATE($B$2,1,1)-WEEKDAY(DATE($B$2,1,1),1)+1+18&lt;=EOMONTH(DATE($B$2,1,1),0)),DAY(DATE($B$2,1,1)-WEEKDAY(DATE($B$2,1,1),1)+1+18),"")</f>
        <v>16</v>
      </c>
      <c r="F8" s="4">
        <f>IF(AND(DATE($B$2,1,1)-WEEKDAY(DATE($B$2,1,1),1)+1+19&gt;=DATE($B$2,1,1),DATE($B$2,1,1)-WEEKDAY(DATE($B$2,1,1),1)+1+19&lt;=EOMONTH(DATE($B$2,1,1),0)),DAY(DATE($B$2,1,1)-WEEKDAY(DATE($B$2,1,1),1)+1+19),"")</f>
        <v>17</v>
      </c>
      <c r="G8" s="3">
        <f>IF(AND(DATE($B$2,1,1)-WEEKDAY(DATE($B$2,1,1),1)+1+20&gt;=DATE($B$2,1,1),DATE($B$2,1,1)-WEEKDAY(DATE($B$2,1,1),1)+1+20&lt;=EOMONTH(DATE($B$2,1,1),0)),DAY(DATE($B$2,1,1)-WEEKDAY(DATE($B$2,1,1),1)+1+20),"")</f>
        <v>18</v>
      </c>
      <c r="J8" s="3">
        <f>IF(AND(DATE($B$2,2,1)-WEEKDAY(DATE($B$2,2,1),1)+1+14&gt;=DATE($B$2,2,1),DATE($B$2,2,1)-WEEKDAY(DATE($B$2,2,1),1)+1+14&lt;=EOMONTH(DATE($B$2,2,1),0)),DAY(DATE($B$2,2,1)-WEEKDAY(DATE($B$2,2,1),1)+1+14),"")</f>
        <v>9</v>
      </c>
      <c r="K8" s="4">
        <f>IF(AND(DATE($B$2,2,1)-WEEKDAY(DATE($B$2,2,1),1)+1+15&gt;=DATE($B$2,2,1),DATE($B$2,2,1)-WEEKDAY(DATE($B$2,2,1),1)+1+15&lt;=EOMONTH(DATE($B$2,2,1),0)),DAY(DATE($B$2,2,1)-WEEKDAY(DATE($B$2,2,1),1)+1+15),"")</f>
        <v>10</v>
      </c>
      <c r="L8" s="4">
        <f>IF(AND(DATE($B$2,2,1)-WEEKDAY(DATE($B$2,2,1),1)+1+16&gt;=DATE($B$2,2,1),DATE($B$2,2,1)-WEEKDAY(DATE($B$2,2,1),1)+1+16&lt;=EOMONTH(DATE($B$2,2,1),0)),DAY(DATE($B$2,2,1)-WEEKDAY(DATE($B$2,2,1),1)+1+16),"")</f>
        <v>11</v>
      </c>
      <c r="M8" s="4">
        <f>IF(AND(DATE($B$2,2,1)-WEEKDAY(DATE($B$2,2,1),1)+1+17&gt;=DATE($B$2,2,1),DATE($B$2,2,1)-WEEKDAY(DATE($B$2,2,1),1)+1+17&lt;=EOMONTH(DATE($B$2,2,1),0)),DAY(DATE($B$2,2,1)-WEEKDAY(DATE($B$2,2,1),1)+1+17),"")</f>
        <v>12</v>
      </c>
      <c r="N8" s="4">
        <f>IF(AND(DATE($B$2,2,1)-WEEKDAY(DATE($B$2,2,1),1)+1+18&gt;=DATE($B$2,2,1),DATE($B$2,2,1)-WEEKDAY(DATE($B$2,2,1),1)+1+18&lt;=EOMONTH(DATE($B$2,2,1),0)),DAY(DATE($B$2,2,1)-WEEKDAY(DATE($B$2,2,1),1)+1+18),"")</f>
        <v>13</v>
      </c>
      <c r="O8" s="4">
        <f>IF(AND(DATE($B$2,2,1)-WEEKDAY(DATE($B$2,2,1),1)+1+19&gt;=DATE($B$2,2,1),DATE($B$2,2,1)-WEEKDAY(DATE($B$2,2,1),1)+1+19&lt;=EOMONTH(DATE($B$2,2,1),0)),DAY(DATE($B$2,2,1)-WEEKDAY(DATE($B$2,2,1),1)+1+19),"")</f>
        <v>14</v>
      </c>
      <c r="P8" s="3">
        <f>IF(AND(DATE($B$2,2,1)-WEEKDAY(DATE($B$2,2,1),1)+1+20&gt;=DATE($B$2,2,1),DATE($B$2,2,1)-WEEKDAY(DATE($B$2,2,1),1)+1+20&lt;=EOMONTH(DATE($B$2,2,1),0)),DAY(DATE($B$2,2,1)-WEEKDAY(DATE($B$2,2,1),1)+1+20),"")</f>
        <v>15</v>
      </c>
      <c r="S8" s="3">
        <f>IF(AND(DATE($B$2,3,1)-WEEKDAY(DATE($B$2,3,1),1)+1+14&gt;=DATE($B$2,3,1),DATE($B$2,3,1)-WEEKDAY(DATE($B$2,3,1),1)+1+14&lt;=EOMONTH(DATE($B$2,3,1),0)),DAY(DATE($B$2,3,1)-WEEKDAY(DATE($B$2,3,1),1)+1+14),"")</f>
        <v>9</v>
      </c>
      <c r="T8" s="4">
        <f>IF(AND(DATE($B$2,3,1)-WEEKDAY(DATE($B$2,3,1),1)+1+15&gt;=DATE($B$2,3,1),DATE($B$2,3,1)-WEEKDAY(DATE($B$2,3,1),1)+1+15&lt;=EOMONTH(DATE($B$2,3,1),0)),DAY(DATE($B$2,3,1)-WEEKDAY(DATE($B$2,3,1),1)+1+15),"")</f>
        <v>10</v>
      </c>
      <c r="U8" s="4">
        <f>IF(AND(DATE($B$2,3,1)-WEEKDAY(DATE($B$2,3,1),1)+1+16&gt;=DATE($B$2,3,1),DATE($B$2,3,1)-WEEKDAY(DATE($B$2,3,1),1)+1+16&lt;=EOMONTH(DATE($B$2,3,1),0)),DAY(DATE($B$2,3,1)-WEEKDAY(DATE($B$2,3,1),1)+1+16),"")</f>
        <v>11</v>
      </c>
      <c r="V8" s="4">
        <f>IF(AND(DATE($B$2,3,1)-WEEKDAY(DATE($B$2,3,1),1)+1+17&gt;=DATE($B$2,3,1),DATE($B$2,3,1)-WEEKDAY(DATE($B$2,3,1),1)+1+17&lt;=EOMONTH(DATE($B$2,3,1),0)),DAY(DATE($B$2,3,1)-WEEKDAY(DATE($B$2,3,1),1)+1+17),"")</f>
        <v>12</v>
      </c>
      <c r="W8" s="4">
        <f>IF(AND(DATE($B$2,3,1)-WEEKDAY(DATE($B$2,3,1),1)+1+18&gt;=DATE($B$2,3,1),DATE($B$2,3,1)-WEEKDAY(DATE($B$2,3,1),1)+1+18&lt;=EOMONTH(DATE($B$2,3,1),0)),DAY(DATE($B$2,3,1)-WEEKDAY(DATE($B$2,3,1),1)+1+18),"")</f>
        <v>13</v>
      </c>
      <c r="X8" s="4">
        <f>IF(AND(DATE($B$2,3,1)-WEEKDAY(DATE($B$2,3,1),1)+1+19&gt;=DATE($B$2,3,1),DATE($B$2,3,1)-WEEKDAY(DATE($B$2,3,1),1)+1+19&lt;=EOMONTH(DATE($B$2,3,1),0)),DAY(DATE($B$2,3,1)-WEEKDAY(DATE($B$2,3,1),1)+1+19),"")</f>
        <v>14</v>
      </c>
      <c r="Y8" s="3">
        <f>IF(AND(DATE($B$2,3,1)-WEEKDAY(DATE($B$2,3,1),1)+1+20&gt;=DATE($B$2,3,1),DATE($B$2,3,1)-WEEKDAY(DATE($B$2,3,1),1)+1+20&lt;=EOMONTH(DATE($B$2,3,1),0)),DAY(DATE($B$2,3,1)-WEEKDAY(DATE($B$2,3,1),1)+1+20),"")</f>
        <v>15</v>
      </c>
      <c r="AB8" s="3">
        <f>IF(AND(DATE($B$2,4,1)-WEEKDAY(DATE($B$2,4,1),1)+1+14&gt;=DATE($B$2,4,1),DATE($B$2,4,1)-WEEKDAY(DATE($B$2,4,1),1)+1+14&lt;=EOMONTH(DATE($B$2,4,1),0)),DAY(DATE($B$2,4,1)-WEEKDAY(DATE($B$2,4,1),1)+1+14),"")</f>
        <v>13</v>
      </c>
      <c r="AC8" s="4">
        <f>IF(AND(DATE($B$2,4,1)-WEEKDAY(DATE($B$2,4,1),1)+1+15&gt;=DATE($B$2,4,1),DATE($B$2,4,1)-WEEKDAY(DATE($B$2,4,1),1)+1+15&lt;=EOMONTH(DATE($B$2,4,1),0)),DAY(DATE($B$2,4,1)-WEEKDAY(DATE($B$2,4,1),1)+1+15),"")</f>
        <v>14</v>
      </c>
      <c r="AD8" s="4">
        <f>IF(AND(DATE($B$2,4,1)-WEEKDAY(DATE($B$2,4,1),1)+1+16&gt;=DATE($B$2,4,1),DATE($B$2,4,1)-WEEKDAY(DATE($B$2,4,1),1)+1+16&lt;=EOMONTH(DATE($B$2,4,1),0)),DAY(DATE($B$2,4,1)-WEEKDAY(DATE($B$2,4,1),1)+1+16),"")</f>
        <v>15</v>
      </c>
      <c r="AE8" s="4">
        <f>IF(AND(DATE($B$2,4,1)-WEEKDAY(DATE($B$2,4,1),1)+1+17&gt;=DATE($B$2,4,1),DATE($B$2,4,1)-WEEKDAY(DATE($B$2,4,1),1)+1+17&lt;=EOMONTH(DATE($B$2,4,1),0)),DAY(DATE($B$2,4,1)-WEEKDAY(DATE($B$2,4,1),1)+1+17),"")</f>
        <v>16</v>
      </c>
      <c r="AF8" s="4">
        <f>IF(AND(DATE($B$2,4,1)-WEEKDAY(DATE($B$2,4,1),1)+1+18&gt;=DATE($B$2,4,1),DATE($B$2,4,1)-WEEKDAY(DATE($B$2,4,1),1)+1+18&lt;=EOMONTH(DATE($B$2,4,1),0)),DAY(DATE($B$2,4,1)-WEEKDAY(DATE($B$2,4,1),1)+1+18),"")</f>
        <v>17</v>
      </c>
      <c r="AG8" s="4">
        <f>IF(AND(DATE($B$2,4,1)-WEEKDAY(DATE($B$2,4,1),1)+1+19&gt;=DATE($B$2,4,1),DATE($B$2,4,1)-WEEKDAY(DATE($B$2,4,1),1)+1+19&lt;=EOMONTH(DATE($B$2,4,1),0)),DAY(DATE($B$2,4,1)-WEEKDAY(DATE($B$2,4,1),1)+1+19),"")</f>
        <v>18</v>
      </c>
      <c r="AH8" s="3">
        <f>IF(AND(DATE($B$2,4,1)-WEEKDAY(DATE($B$2,4,1),1)+1+20&gt;=DATE($B$2,4,1),DATE($B$2,4,1)-WEEKDAY(DATE($B$2,4,1),1)+1+20&lt;=EOMONTH(DATE($B$2,4,1),0)),DAY(DATE($B$2,4,1)-WEEKDAY(DATE($B$2,4,1),1)+1+20),"")</f>
        <v>19</v>
      </c>
    </row>
    <row r="9" spans="1:37" x14ac:dyDescent="0.3">
      <c r="A9" s="3">
        <f>IF(AND(DATE($B$2,1,1)-WEEKDAY(DATE($B$2,1,1),1)+1+21&gt;=DATE($B$2,1,1),DATE($B$2,1,1)-WEEKDAY(DATE($B$2,1,1),1)+1+21&lt;=EOMONTH(DATE($B$2,1,1),0)),DAY(DATE($B$2,1,1)-WEEKDAY(DATE($B$2,1,1),1)+1+21),"")</f>
        <v>19</v>
      </c>
      <c r="B9" s="4">
        <f>IF(AND(DATE($B$2,1,1)-WEEKDAY(DATE($B$2,1,1),1)+1+22&gt;=DATE($B$2,1,1),DATE($B$2,1,1)-WEEKDAY(DATE($B$2,1,1),1)+1+22&lt;=EOMONTH(DATE($B$2,1,1),0)),DAY(DATE($B$2,1,1)-WEEKDAY(DATE($B$2,1,1),1)+1+22),"")</f>
        <v>20</v>
      </c>
      <c r="C9" s="4">
        <f>IF(AND(DATE($B$2,1,1)-WEEKDAY(DATE($B$2,1,1),1)+1+23&gt;=DATE($B$2,1,1),DATE($B$2,1,1)-WEEKDAY(DATE($B$2,1,1),1)+1+23&lt;=EOMONTH(DATE($B$2,1,1),0)),DAY(DATE($B$2,1,1)-WEEKDAY(DATE($B$2,1,1),1)+1+23),"")</f>
        <v>21</v>
      </c>
      <c r="D9" s="4">
        <f>IF(AND(DATE($B$2,1,1)-WEEKDAY(DATE($B$2,1,1),1)+1+24&gt;=DATE($B$2,1,1),DATE($B$2,1,1)-WEEKDAY(DATE($B$2,1,1),1)+1+24&lt;=EOMONTH(DATE($B$2,1,1),0)),DAY(DATE($B$2,1,1)-WEEKDAY(DATE($B$2,1,1),1)+1+24),"")</f>
        <v>22</v>
      </c>
      <c r="E9" s="4">
        <f>IF(AND(DATE($B$2,1,1)-WEEKDAY(DATE($B$2,1,1),1)+1+25&gt;=DATE($B$2,1,1),DATE($B$2,1,1)-WEEKDAY(DATE($B$2,1,1),1)+1+25&lt;=EOMONTH(DATE($B$2,1,1),0)),DAY(DATE($B$2,1,1)-WEEKDAY(DATE($B$2,1,1),1)+1+25),"")</f>
        <v>23</v>
      </c>
      <c r="F9" s="4">
        <f>IF(AND(DATE($B$2,1,1)-WEEKDAY(DATE($B$2,1,1),1)+1+26&gt;=DATE($B$2,1,1),DATE($B$2,1,1)-WEEKDAY(DATE($B$2,1,1),1)+1+26&lt;=EOMONTH(DATE($B$2,1,1),0)),DAY(DATE($B$2,1,1)-WEEKDAY(DATE($B$2,1,1),1)+1+26),"")</f>
        <v>24</v>
      </c>
      <c r="G9" s="3">
        <f>IF(AND(DATE($B$2,1,1)-WEEKDAY(DATE($B$2,1,1),1)+1+27&gt;=DATE($B$2,1,1),DATE($B$2,1,1)-WEEKDAY(DATE($B$2,1,1),1)+1+27&lt;=EOMONTH(DATE($B$2,1,1),0)),DAY(DATE($B$2,1,1)-WEEKDAY(DATE($B$2,1,1),1)+1+27),"")</f>
        <v>25</v>
      </c>
      <c r="J9" s="3">
        <f>IF(AND(DATE($B$2,2,1)-WEEKDAY(DATE($B$2,2,1),1)+1+21&gt;=DATE($B$2,2,1),DATE($B$2,2,1)-WEEKDAY(DATE($B$2,2,1),1)+1+21&lt;=EOMONTH(DATE($B$2,2,1),0)),DAY(DATE($B$2,2,1)-WEEKDAY(DATE($B$2,2,1),1)+1+21),"")</f>
        <v>16</v>
      </c>
      <c r="K9" s="4">
        <f>IF(AND(DATE($B$2,2,1)-WEEKDAY(DATE($B$2,2,1),1)+1+22&gt;=DATE($B$2,2,1),DATE($B$2,2,1)-WEEKDAY(DATE($B$2,2,1),1)+1+22&lt;=EOMONTH(DATE($B$2,2,1),0)),DAY(DATE($B$2,2,1)-WEEKDAY(DATE($B$2,2,1),1)+1+22),"")</f>
        <v>17</v>
      </c>
      <c r="L9" s="4">
        <f>IF(AND(DATE($B$2,2,1)-WEEKDAY(DATE($B$2,2,1),1)+1+23&gt;=DATE($B$2,2,1),DATE($B$2,2,1)-WEEKDAY(DATE($B$2,2,1),1)+1+23&lt;=EOMONTH(DATE($B$2,2,1),0)),DAY(DATE($B$2,2,1)-WEEKDAY(DATE($B$2,2,1),1)+1+23),"")</f>
        <v>18</v>
      </c>
      <c r="M9" s="4">
        <f>IF(AND(DATE($B$2,2,1)-WEEKDAY(DATE($B$2,2,1),1)+1+24&gt;=DATE($B$2,2,1),DATE($B$2,2,1)-WEEKDAY(DATE($B$2,2,1),1)+1+24&lt;=EOMONTH(DATE($B$2,2,1),0)),DAY(DATE($B$2,2,1)-WEEKDAY(DATE($B$2,2,1),1)+1+24),"")</f>
        <v>19</v>
      </c>
      <c r="N9" s="4">
        <f>IF(AND(DATE($B$2,2,1)-WEEKDAY(DATE($B$2,2,1),1)+1+25&gt;=DATE($B$2,2,1),DATE($B$2,2,1)-WEEKDAY(DATE($B$2,2,1),1)+1+25&lt;=EOMONTH(DATE($B$2,2,1),0)),DAY(DATE($B$2,2,1)-WEEKDAY(DATE($B$2,2,1),1)+1+25),"")</f>
        <v>20</v>
      </c>
      <c r="O9" s="4">
        <f>IF(AND(DATE($B$2,2,1)-WEEKDAY(DATE($B$2,2,1),1)+1+26&gt;=DATE($B$2,2,1),DATE($B$2,2,1)-WEEKDAY(DATE($B$2,2,1),1)+1+26&lt;=EOMONTH(DATE($B$2,2,1),0)),DAY(DATE($B$2,2,1)-WEEKDAY(DATE($B$2,2,1),1)+1+26),"")</f>
        <v>21</v>
      </c>
      <c r="P9" s="3">
        <f>IF(AND(DATE($B$2,2,1)-WEEKDAY(DATE($B$2,2,1),1)+1+27&gt;=DATE($B$2,2,1),DATE($B$2,2,1)-WEEKDAY(DATE($B$2,2,1),1)+1+27&lt;=EOMONTH(DATE($B$2,2,1),0)),DAY(DATE($B$2,2,1)-WEEKDAY(DATE($B$2,2,1),1)+1+27),"")</f>
        <v>22</v>
      </c>
      <c r="S9" s="3">
        <f>IF(AND(DATE($B$2,3,1)-WEEKDAY(DATE($B$2,3,1),1)+1+21&gt;=DATE($B$2,3,1),DATE($B$2,3,1)-WEEKDAY(DATE($B$2,3,1),1)+1+21&lt;=EOMONTH(DATE($B$2,3,1),0)),DAY(DATE($B$2,3,1)-WEEKDAY(DATE($B$2,3,1),1)+1+21),"")</f>
        <v>16</v>
      </c>
      <c r="T9" s="4">
        <f>IF(AND(DATE($B$2,3,1)-WEEKDAY(DATE($B$2,3,1),1)+1+22&gt;=DATE($B$2,3,1),DATE($B$2,3,1)-WEEKDAY(DATE($B$2,3,1),1)+1+22&lt;=EOMONTH(DATE($B$2,3,1),0)),DAY(DATE($B$2,3,1)-WEEKDAY(DATE($B$2,3,1),1)+1+22),"")</f>
        <v>17</v>
      </c>
      <c r="U9" s="4">
        <f>IF(AND(DATE($B$2,3,1)-WEEKDAY(DATE($B$2,3,1),1)+1+23&gt;=DATE($B$2,3,1),DATE($B$2,3,1)-WEEKDAY(DATE($B$2,3,1),1)+1+23&lt;=EOMONTH(DATE($B$2,3,1),0)),DAY(DATE($B$2,3,1)-WEEKDAY(DATE($B$2,3,1),1)+1+23),"")</f>
        <v>18</v>
      </c>
      <c r="V9" s="4">
        <f>IF(AND(DATE($B$2,3,1)-WEEKDAY(DATE($B$2,3,1),1)+1+24&gt;=DATE($B$2,3,1),DATE($B$2,3,1)-WEEKDAY(DATE($B$2,3,1),1)+1+24&lt;=EOMONTH(DATE($B$2,3,1),0)),DAY(DATE($B$2,3,1)-WEEKDAY(DATE($B$2,3,1),1)+1+24),"")</f>
        <v>19</v>
      </c>
      <c r="W9" s="4">
        <f>IF(AND(DATE($B$2,3,1)-WEEKDAY(DATE($B$2,3,1),1)+1+25&gt;=DATE($B$2,3,1),DATE($B$2,3,1)-WEEKDAY(DATE($B$2,3,1),1)+1+25&lt;=EOMONTH(DATE($B$2,3,1),0)),DAY(DATE($B$2,3,1)-WEEKDAY(DATE($B$2,3,1),1)+1+25),"")</f>
        <v>20</v>
      </c>
      <c r="X9" s="4">
        <f>IF(AND(DATE($B$2,3,1)-WEEKDAY(DATE($B$2,3,1),1)+1+26&gt;=DATE($B$2,3,1),DATE($B$2,3,1)-WEEKDAY(DATE($B$2,3,1),1)+1+26&lt;=EOMONTH(DATE($B$2,3,1),0)),DAY(DATE($B$2,3,1)-WEEKDAY(DATE($B$2,3,1),1)+1+26),"")</f>
        <v>21</v>
      </c>
      <c r="Y9" s="3">
        <f>IF(AND(DATE($B$2,3,1)-WEEKDAY(DATE($B$2,3,1),1)+1+27&gt;=DATE($B$2,3,1),DATE($B$2,3,1)-WEEKDAY(DATE($B$2,3,1),1)+1+27&lt;=EOMONTH(DATE($B$2,3,1),0)),DAY(DATE($B$2,3,1)-WEEKDAY(DATE($B$2,3,1),1)+1+27),"")</f>
        <v>22</v>
      </c>
      <c r="AB9" s="3">
        <f>IF(AND(DATE($B$2,4,1)-WEEKDAY(DATE($B$2,4,1),1)+1+21&gt;=DATE($B$2,4,1),DATE($B$2,4,1)-WEEKDAY(DATE($B$2,4,1),1)+1+21&lt;=EOMONTH(DATE($B$2,4,1),0)),DAY(DATE($B$2,4,1)-WEEKDAY(DATE($B$2,4,1),1)+1+21),"")</f>
        <v>20</v>
      </c>
      <c r="AC9" s="4">
        <f>IF(AND(DATE($B$2,4,1)-WEEKDAY(DATE($B$2,4,1),1)+1+22&gt;=DATE($B$2,4,1),DATE($B$2,4,1)-WEEKDAY(DATE($B$2,4,1),1)+1+22&lt;=EOMONTH(DATE($B$2,4,1),0)),DAY(DATE($B$2,4,1)-WEEKDAY(DATE($B$2,4,1),1)+1+22),"")</f>
        <v>21</v>
      </c>
      <c r="AD9" s="4">
        <f>IF(AND(DATE($B$2,4,1)-WEEKDAY(DATE($B$2,4,1),1)+1+23&gt;=DATE($B$2,4,1),DATE($B$2,4,1)-WEEKDAY(DATE($B$2,4,1),1)+1+23&lt;=EOMONTH(DATE($B$2,4,1),0)),DAY(DATE($B$2,4,1)-WEEKDAY(DATE($B$2,4,1),1)+1+23),"")</f>
        <v>22</v>
      </c>
      <c r="AE9" s="4">
        <f>IF(AND(DATE($B$2,4,1)-WEEKDAY(DATE($B$2,4,1),1)+1+24&gt;=DATE($B$2,4,1),DATE($B$2,4,1)-WEEKDAY(DATE($B$2,4,1),1)+1+24&lt;=EOMONTH(DATE($B$2,4,1),0)),DAY(DATE($B$2,4,1)-WEEKDAY(DATE($B$2,4,1),1)+1+24),"")</f>
        <v>23</v>
      </c>
      <c r="AF9" s="4">
        <f>IF(AND(DATE($B$2,4,1)-WEEKDAY(DATE($B$2,4,1),1)+1+25&gt;=DATE($B$2,4,1),DATE($B$2,4,1)-WEEKDAY(DATE($B$2,4,1),1)+1+25&lt;=EOMONTH(DATE($B$2,4,1),0)),DAY(DATE($B$2,4,1)-WEEKDAY(DATE($B$2,4,1),1)+1+25),"")</f>
        <v>24</v>
      </c>
      <c r="AG9" s="4">
        <f>IF(AND(DATE($B$2,4,1)-WEEKDAY(DATE($B$2,4,1),1)+1+26&gt;=DATE($B$2,4,1),DATE($B$2,4,1)-WEEKDAY(DATE($B$2,4,1),1)+1+26&lt;=EOMONTH(DATE($B$2,4,1),0)),DAY(DATE($B$2,4,1)-WEEKDAY(DATE($B$2,4,1),1)+1+26),"")</f>
        <v>25</v>
      </c>
      <c r="AH9" s="3">
        <f>IF(AND(DATE($B$2,4,1)-WEEKDAY(DATE($B$2,4,1),1)+1+27&gt;=DATE($B$2,4,1),DATE($B$2,4,1)-WEEKDAY(DATE($B$2,4,1),1)+1+27&lt;=EOMONTH(DATE($B$2,4,1),0)),DAY(DATE($B$2,4,1)-WEEKDAY(DATE($B$2,4,1),1)+1+27),"")</f>
        <v>26</v>
      </c>
    </row>
    <row r="10" spans="1:37" x14ac:dyDescent="0.3">
      <c r="A10" s="3">
        <f>IF(AND(DATE($B$2,1,1)-WEEKDAY(DATE($B$2,1,1),1)+1+28&gt;=DATE($B$2,1,1),DATE($B$2,1,1)-WEEKDAY(DATE($B$2,1,1),1)+1+28&lt;=EOMONTH(DATE($B$2,1,1),0)),DAY(DATE($B$2,1,1)-WEEKDAY(DATE($B$2,1,1),1)+1+28),"")</f>
        <v>26</v>
      </c>
      <c r="B10" s="4">
        <f>IF(AND(DATE($B$2,1,1)-WEEKDAY(DATE($B$2,1,1),1)+1+29&gt;=DATE($B$2,1,1),DATE($B$2,1,1)-WEEKDAY(DATE($B$2,1,1),1)+1+29&lt;=EOMONTH(DATE($B$2,1,1),0)),DAY(DATE($B$2,1,1)-WEEKDAY(DATE($B$2,1,1),1)+1+29),"")</f>
        <v>27</v>
      </c>
      <c r="C10" s="4">
        <f>IF(AND(DATE($B$2,1,1)-WEEKDAY(DATE($B$2,1,1),1)+1+30&gt;=DATE($B$2,1,1),DATE($B$2,1,1)-WEEKDAY(DATE($B$2,1,1),1)+1+30&lt;=EOMONTH(DATE($B$2,1,1),0)),DAY(DATE($B$2,1,1)-WEEKDAY(DATE($B$2,1,1),1)+1+30),"")</f>
        <v>28</v>
      </c>
      <c r="D10" s="4">
        <f>IF(AND(DATE($B$2,1,1)-WEEKDAY(DATE($B$2,1,1),1)+1+31&gt;=DATE($B$2,1,1),DATE($B$2,1,1)-WEEKDAY(DATE($B$2,1,1),1)+1+31&lt;=EOMONTH(DATE($B$2,1,1),0)),DAY(DATE($B$2,1,1)-WEEKDAY(DATE($B$2,1,1),1)+1+31),"")</f>
        <v>29</v>
      </c>
      <c r="E10" s="4">
        <f>IF(AND(DATE($B$2,1,1)-WEEKDAY(DATE($B$2,1,1),1)+1+32&gt;=DATE($B$2,1,1),DATE($B$2,1,1)-WEEKDAY(DATE($B$2,1,1),1)+1+32&lt;=EOMONTH(DATE($B$2,1,1),0)),DAY(DATE($B$2,1,1)-WEEKDAY(DATE($B$2,1,1),1)+1+32),"")</f>
        <v>30</v>
      </c>
      <c r="F10" s="4">
        <f>IF(AND(DATE($B$2,1,1)-WEEKDAY(DATE($B$2,1,1),1)+1+33&gt;=DATE($B$2,1,1),DATE($B$2,1,1)-WEEKDAY(DATE($B$2,1,1),1)+1+33&lt;=EOMONTH(DATE($B$2,1,1),0)),DAY(DATE($B$2,1,1)-WEEKDAY(DATE($B$2,1,1),1)+1+33),"")</f>
        <v>31</v>
      </c>
      <c r="G10" s="3" t="str">
        <f>IF(AND(DATE($B$2,1,1)-WEEKDAY(DATE($B$2,1,1),1)+1+34&gt;=DATE($B$2,1,1),DATE($B$2,1,1)-WEEKDAY(DATE($B$2,1,1),1)+1+34&lt;=EOMONTH(DATE($B$2,1,1),0)),DAY(DATE($B$2,1,1)-WEEKDAY(DATE($B$2,1,1),1)+1+34),"")</f>
        <v/>
      </c>
      <c r="J10" s="3">
        <f>IF(AND(DATE($B$2,2,1)-WEEKDAY(DATE($B$2,2,1),1)+1+28&gt;=DATE($B$2,2,1),DATE($B$2,2,1)-WEEKDAY(DATE($B$2,2,1),1)+1+28&lt;=EOMONTH(DATE($B$2,2,1),0)),DAY(DATE($B$2,2,1)-WEEKDAY(DATE($B$2,2,1),1)+1+28),"")</f>
        <v>23</v>
      </c>
      <c r="K10" s="4">
        <f>IF(AND(DATE($B$2,2,1)-WEEKDAY(DATE($B$2,2,1),1)+1+29&gt;=DATE($B$2,2,1),DATE($B$2,2,1)-WEEKDAY(DATE($B$2,2,1),1)+1+29&lt;=EOMONTH(DATE($B$2,2,1),0)),DAY(DATE($B$2,2,1)-WEEKDAY(DATE($B$2,2,1),1)+1+29),"")</f>
        <v>24</v>
      </c>
      <c r="L10" s="4">
        <f>IF(AND(DATE($B$2,2,1)-WEEKDAY(DATE($B$2,2,1),1)+1+30&gt;=DATE($B$2,2,1),DATE($B$2,2,1)-WEEKDAY(DATE($B$2,2,1),1)+1+30&lt;=EOMONTH(DATE($B$2,2,1),0)),DAY(DATE($B$2,2,1)-WEEKDAY(DATE($B$2,2,1),1)+1+30),"")</f>
        <v>25</v>
      </c>
      <c r="M10" s="4">
        <f>IF(AND(DATE($B$2,2,1)-WEEKDAY(DATE($B$2,2,1),1)+1+31&gt;=DATE($B$2,2,1),DATE($B$2,2,1)-WEEKDAY(DATE($B$2,2,1),1)+1+31&lt;=EOMONTH(DATE($B$2,2,1),0)),DAY(DATE($B$2,2,1)-WEEKDAY(DATE($B$2,2,1),1)+1+31),"")</f>
        <v>26</v>
      </c>
      <c r="N10" s="4">
        <f>IF(AND(DATE($B$2,2,1)-WEEKDAY(DATE($B$2,2,1),1)+1+32&gt;=DATE($B$2,2,1),DATE($B$2,2,1)-WEEKDAY(DATE($B$2,2,1),1)+1+32&lt;=EOMONTH(DATE($B$2,2,1),0)),DAY(DATE($B$2,2,1)-WEEKDAY(DATE($B$2,2,1),1)+1+32),"")</f>
        <v>27</v>
      </c>
      <c r="O10" s="4">
        <f>IF(AND(DATE($B$2,2,1)-WEEKDAY(DATE($B$2,2,1),1)+1+33&gt;=DATE($B$2,2,1),DATE($B$2,2,1)-WEEKDAY(DATE($B$2,2,1),1)+1+33&lt;=EOMONTH(DATE($B$2,2,1),0)),DAY(DATE($B$2,2,1)-WEEKDAY(DATE($B$2,2,1),1)+1+33),"")</f>
        <v>28</v>
      </c>
      <c r="P10" s="3" t="str">
        <f>IF(AND(DATE($B$2,2,1)-WEEKDAY(DATE($B$2,2,1),1)+1+34&gt;=DATE($B$2,2,1),DATE($B$2,2,1)-WEEKDAY(DATE($B$2,2,1),1)+1+34&lt;=EOMONTH(DATE($B$2,2,1),0)),DAY(DATE($B$2,2,1)-WEEKDAY(DATE($B$2,2,1),1)+1+34),"")</f>
        <v/>
      </c>
      <c r="S10" s="3">
        <f>IF(AND(DATE($B$2,3,1)-WEEKDAY(DATE($B$2,3,1),1)+1+28&gt;=DATE($B$2,3,1),DATE($B$2,3,1)-WEEKDAY(DATE($B$2,3,1),1)+1+28&lt;=EOMONTH(DATE($B$2,3,1),0)),DAY(DATE($B$2,3,1)-WEEKDAY(DATE($B$2,3,1),1)+1+28),"")</f>
        <v>23</v>
      </c>
      <c r="T10" s="4">
        <f>IF(AND(DATE($B$2,3,1)-WEEKDAY(DATE($B$2,3,1),1)+1+29&gt;=DATE($B$2,3,1),DATE($B$2,3,1)-WEEKDAY(DATE($B$2,3,1),1)+1+29&lt;=EOMONTH(DATE($B$2,3,1),0)),DAY(DATE($B$2,3,1)-WEEKDAY(DATE($B$2,3,1),1)+1+29),"")</f>
        <v>24</v>
      </c>
      <c r="U10" s="4">
        <f>IF(AND(DATE($B$2,3,1)-WEEKDAY(DATE($B$2,3,1),1)+1+30&gt;=DATE($B$2,3,1),DATE($B$2,3,1)-WEEKDAY(DATE($B$2,3,1),1)+1+30&lt;=EOMONTH(DATE($B$2,3,1),0)),DAY(DATE($B$2,3,1)-WEEKDAY(DATE($B$2,3,1),1)+1+30),"")</f>
        <v>25</v>
      </c>
      <c r="V10" s="4">
        <f>IF(AND(DATE($B$2,3,1)-WEEKDAY(DATE($B$2,3,1),1)+1+31&gt;=DATE($B$2,3,1),DATE($B$2,3,1)-WEEKDAY(DATE($B$2,3,1),1)+1+31&lt;=EOMONTH(DATE($B$2,3,1),0)),DAY(DATE($B$2,3,1)-WEEKDAY(DATE($B$2,3,1),1)+1+31),"")</f>
        <v>26</v>
      </c>
      <c r="W10" s="4">
        <f>IF(AND(DATE($B$2,3,1)-WEEKDAY(DATE($B$2,3,1),1)+1+32&gt;=DATE($B$2,3,1),DATE($B$2,3,1)-WEEKDAY(DATE($B$2,3,1),1)+1+32&lt;=EOMONTH(DATE($B$2,3,1),0)),DAY(DATE($B$2,3,1)-WEEKDAY(DATE($B$2,3,1),1)+1+32),"")</f>
        <v>27</v>
      </c>
      <c r="X10" s="4">
        <f>IF(AND(DATE($B$2,3,1)-WEEKDAY(DATE($B$2,3,1),1)+1+33&gt;=DATE($B$2,3,1),DATE($B$2,3,1)-WEEKDAY(DATE($B$2,3,1),1)+1+33&lt;=EOMONTH(DATE($B$2,3,1),0)),DAY(DATE($B$2,3,1)-WEEKDAY(DATE($B$2,3,1),1)+1+33),"")</f>
        <v>28</v>
      </c>
      <c r="Y10" s="3">
        <f>IF(AND(DATE($B$2,3,1)-WEEKDAY(DATE($B$2,3,1),1)+1+34&gt;=DATE($B$2,3,1),DATE($B$2,3,1)-WEEKDAY(DATE($B$2,3,1),1)+1+34&lt;=EOMONTH(DATE($B$2,3,1),0)),DAY(DATE($B$2,3,1)-WEEKDAY(DATE($B$2,3,1),1)+1+34),"")</f>
        <v>29</v>
      </c>
      <c r="AB10" s="3">
        <f>IF(AND(DATE($B$2,4,1)-WEEKDAY(DATE($B$2,4,1),1)+1+28&gt;=DATE($B$2,4,1),DATE($B$2,4,1)-WEEKDAY(DATE($B$2,4,1),1)+1+28&lt;=EOMONTH(DATE($B$2,4,1),0)),DAY(DATE($B$2,4,1)-WEEKDAY(DATE($B$2,4,1),1)+1+28),"")</f>
        <v>27</v>
      </c>
      <c r="AC10" s="4">
        <f>IF(AND(DATE($B$2,4,1)-WEEKDAY(DATE($B$2,4,1),1)+1+29&gt;=DATE($B$2,4,1),DATE($B$2,4,1)-WEEKDAY(DATE($B$2,4,1),1)+1+29&lt;=EOMONTH(DATE($B$2,4,1),0)),DAY(DATE($B$2,4,1)-WEEKDAY(DATE($B$2,4,1),1)+1+29),"")</f>
        <v>28</v>
      </c>
      <c r="AD10" s="4">
        <f>IF(AND(DATE($B$2,4,1)-WEEKDAY(DATE($B$2,4,1),1)+1+30&gt;=DATE($B$2,4,1),DATE($B$2,4,1)-WEEKDAY(DATE($B$2,4,1),1)+1+30&lt;=EOMONTH(DATE($B$2,4,1),0)),DAY(DATE($B$2,4,1)-WEEKDAY(DATE($B$2,4,1),1)+1+30),"")</f>
        <v>29</v>
      </c>
      <c r="AE10" s="4">
        <f>IF(AND(DATE($B$2,4,1)-WEEKDAY(DATE($B$2,4,1),1)+1+31&gt;=DATE($B$2,4,1),DATE($B$2,4,1)-WEEKDAY(DATE($B$2,4,1),1)+1+31&lt;=EOMONTH(DATE($B$2,4,1),0)),DAY(DATE($B$2,4,1)-WEEKDAY(DATE($B$2,4,1),1)+1+31),"")</f>
        <v>30</v>
      </c>
      <c r="AF10" s="4" t="str">
        <f>IF(AND(DATE($B$2,4,1)-WEEKDAY(DATE($B$2,4,1),1)+1+32&gt;=DATE($B$2,4,1),DATE($B$2,4,1)-WEEKDAY(DATE($B$2,4,1),1)+1+32&lt;=EOMONTH(DATE($B$2,4,1),0)),DAY(DATE($B$2,4,1)-WEEKDAY(DATE($B$2,4,1),1)+1+32),"")</f>
        <v/>
      </c>
      <c r="AG10" s="4" t="str">
        <f>IF(AND(DATE($B$2,4,1)-WEEKDAY(DATE($B$2,4,1),1)+1+33&gt;=DATE($B$2,4,1),DATE($B$2,4,1)-WEEKDAY(DATE($B$2,4,1),1)+1+33&lt;=EOMONTH(DATE($B$2,4,1),0)),DAY(DATE($B$2,4,1)-WEEKDAY(DATE($B$2,4,1),1)+1+33),"")</f>
        <v/>
      </c>
      <c r="AH10" s="3" t="str">
        <f>IF(AND(DATE($B$2,4,1)-WEEKDAY(DATE($B$2,4,1),1)+1+34&gt;=DATE($B$2,4,1),DATE($B$2,4,1)-WEEKDAY(DATE($B$2,4,1),1)+1+34&lt;=EOMONTH(DATE($B$2,4,1),0)),DAY(DATE($B$2,4,1)-WEEKDAY(DATE($B$2,4,1),1)+1+34),"")</f>
        <v/>
      </c>
    </row>
    <row r="11" spans="1:37" x14ac:dyDescent="0.3">
      <c r="A11" s="3" t="str">
        <f>IF(AND(DATE($B$2,1,1)-WEEKDAY(DATE($B$2,1,1),1)+1+35&gt;=DATE($B$2,1,1),DATE($B$2,1,1)-WEEKDAY(DATE($B$2,1,1),1)+1+35&lt;=EOMONTH(DATE($B$2,1,1),0)),DAY(DATE($B$2,1,1)-WEEKDAY(DATE($B$2,1,1),1)+1+35),"")</f>
        <v/>
      </c>
      <c r="B11" s="4" t="str">
        <f>IF(AND(DATE($B$2,1,1)-WEEKDAY(DATE($B$2,1,1),1)+1+36&gt;=DATE($B$2,1,1),DATE($B$2,1,1)-WEEKDAY(DATE($B$2,1,1),1)+1+36&lt;=EOMONTH(DATE($B$2,1,1),0)),DAY(DATE($B$2,1,1)-WEEKDAY(DATE($B$2,1,1),1)+1+36),"")</f>
        <v/>
      </c>
      <c r="C11" s="4" t="str">
        <f>IF(AND(DATE($B$2,1,1)-WEEKDAY(DATE($B$2,1,1),1)+1+37&gt;=DATE($B$2,1,1),DATE($B$2,1,1)-WEEKDAY(DATE($B$2,1,1),1)+1+37&lt;=EOMONTH(DATE($B$2,1,1),0)),DAY(DATE($B$2,1,1)-WEEKDAY(DATE($B$2,1,1),1)+1+37),"")</f>
        <v/>
      </c>
      <c r="D11" s="4" t="str">
        <f>IF(AND(DATE($B$2,1,1)-WEEKDAY(DATE($B$2,1,1),1)+1+38&gt;=DATE($B$2,1,1),DATE($B$2,1,1)-WEEKDAY(DATE($B$2,1,1),1)+1+38&lt;=EOMONTH(DATE($B$2,1,1),0)),DAY(DATE($B$2,1,1)-WEEKDAY(DATE($B$2,1,1),1)+1+38),"")</f>
        <v/>
      </c>
      <c r="E11" s="4" t="str">
        <f>IF(AND(DATE($B$2,1,1)-WEEKDAY(DATE($B$2,1,1),1)+1+39&gt;=DATE($B$2,1,1),DATE($B$2,1,1)-WEEKDAY(DATE($B$2,1,1),1)+1+39&lt;=EOMONTH(DATE($B$2,1,1),0)),DAY(DATE($B$2,1,1)-WEEKDAY(DATE($B$2,1,1),1)+1+39),"")</f>
        <v/>
      </c>
      <c r="F11" s="4" t="str">
        <f>IF(AND(DATE($B$2,1,1)-WEEKDAY(DATE($B$2,1,1),1)+1+40&gt;=DATE($B$2,1,1),DATE($B$2,1,1)-WEEKDAY(DATE($B$2,1,1),1)+1+40&lt;=EOMONTH(DATE($B$2,1,1),0)),DAY(DATE($B$2,1,1)-WEEKDAY(DATE($B$2,1,1),1)+1+40),"")</f>
        <v/>
      </c>
      <c r="G11" s="3" t="str">
        <f>IF(AND(DATE($B$2,1,1)-WEEKDAY(DATE($B$2,1,1),1)+1+41&gt;=DATE($B$2,1,1),DATE($B$2,1,1)-WEEKDAY(DATE($B$2,1,1),1)+1+41&lt;=EOMONTH(DATE($B$2,1,1),0)),DAY(DATE($B$2,1,1)-WEEKDAY(DATE($B$2,1,1),1)+1+41),"")</f>
        <v/>
      </c>
      <c r="J11" s="3" t="str">
        <f>IF(AND(DATE($B$2,2,1)-WEEKDAY(DATE($B$2,2,1),1)+1+35&gt;=DATE($B$2,2,1),DATE($B$2,2,1)-WEEKDAY(DATE($B$2,2,1),1)+1+35&lt;=EOMONTH(DATE($B$2,2,1),0)),DAY(DATE($B$2,2,1)-WEEKDAY(DATE($B$2,2,1),1)+1+35),"")</f>
        <v/>
      </c>
      <c r="K11" s="4" t="str">
        <f>IF(AND(DATE($B$2,2,1)-WEEKDAY(DATE($B$2,2,1),1)+1+36&gt;=DATE($B$2,2,1),DATE($B$2,2,1)-WEEKDAY(DATE($B$2,2,1),1)+1+36&lt;=EOMONTH(DATE($B$2,2,1),0)),DAY(DATE($B$2,2,1)-WEEKDAY(DATE($B$2,2,1),1)+1+36),"")</f>
        <v/>
      </c>
      <c r="L11" s="4" t="str">
        <f>IF(AND(DATE($B$2,2,1)-WEEKDAY(DATE($B$2,2,1),1)+1+37&gt;=DATE($B$2,2,1),DATE($B$2,2,1)-WEEKDAY(DATE($B$2,2,1),1)+1+37&lt;=EOMONTH(DATE($B$2,2,1),0)),DAY(DATE($B$2,2,1)-WEEKDAY(DATE($B$2,2,1),1)+1+37),"")</f>
        <v/>
      </c>
      <c r="M11" s="4" t="str">
        <f>IF(AND(DATE($B$2,2,1)-WEEKDAY(DATE($B$2,2,1),1)+1+38&gt;=DATE($B$2,2,1),DATE($B$2,2,1)-WEEKDAY(DATE($B$2,2,1),1)+1+38&lt;=EOMONTH(DATE($B$2,2,1),0)),DAY(DATE($B$2,2,1)-WEEKDAY(DATE($B$2,2,1),1)+1+38),"")</f>
        <v/>
      </c>
      <c r="N11" s="4" t="str">
        <f>IF(AND(DATE($B$2,2,1)-WEEKDAY(DATE($B$2,2,1),1)+1+39&gt;=DATE($B$2,2,1),DATE($B$2,2,1)-WEEKDAY(DATE($B$2,2,1),1)+1+39&lt;=EOMONTH(DATE($B$2,2,1),0)),DAY(DATE($B$2,2,1)-WEEKDAY(DATE($B$2,2,1),1)+1+39),"")</f>
        <v/>
      </c>
      <c r="O11" s="4" t="str">
        <f>IF(AND(DATE($B$2,2,1)-WEEKDAY(DATE($B$2,2,1),1)+1+40&gt;=DATE($B$2,2,1),DATE($B$2,2,1)-WEEKDAY(DATE($B$2,2,1),1)+1+40&lt;=EOMONTH(DATE($B$2,2,1),0)),DAY(DATE($B$2,2,1)-WEEKDAY(DATE($B$2,2,1),1)+1+40),"")</f>
        <v/>
      </c>
      <c r="P11" s="3" t="str">
        <f>IF(AND(DATE($B$2,2,1)-WEEKDAY(DATE($B$2,2,1),1)+1+41&gt;=DATE($B$2,2,1),DATE($B$2,2,1)-WEEKDAY(DATE($B$2,2,1),1)+1+41&lt;=EOMONTH(DATE($B$2,2,1),0)),DAY(DATE($B$2,2,1)-WEEKDAY(DATE($B$2,2,1),1)+1+41),"")</f>
        <v/>
      </c>
      <c r="S11" s="3">
        <f>IF(AND(DATE($B$2,3,1)-WEEKDAY(DATE($B$2,3,1),1)+1+35&gt;=DATE($B$2,3,1),DATE($B$2,3,1)-WEEKDAY(DATE($B$2,3,1),1)+1+35&lt;=EOMONTH(DATE($B$2,3,1),0)),DAY(DATE($B$2,3,1)-WEEKDAY(DATE($B$2,3,1),1)+1+35),"")</f>
        <v>30</v>
      </c>
      <c r="T11" s="4">
        <f>IF(AND(DATE($B$2,3,1)-WEEKDAY(DATE($B$2,3,1),1)+1+36&gt;=DATE($B$2,3,1),DATE($B$2,3,1)-WEEKDAY(DATE($B$2,3,1),1)+1+36&lt;=EOMONTH(DATE($B$2,3,1),0)),DAY(DATE($B$2,3,1)-WEEKDAY(DATE($B$2,3,1),1)+1+36),"")</f>
        <v>31</v>
      </c>
      <c r="U11" s="4" t="str">
        <f>IF(AND(DATE($B$2,3,1)-WEEKDAY(DATE($B$2,3,1),1)+1+37&gt;=DATE($B$2,3,1),DATE($B$2,3,1)-WEEKDAY(DATE($B$2,3,1),1)+1+37&lt;=EOMONTH(DATE($B$2,3,1),0)),DAY(DATE($B$2,3,1)-WEEKDAY(DATE($B$2,3,1),1)+1+37),"")</f>
        <v/>
      </c>
      <c r="V11" s="4" t="str">
        <f>IF(AND(DATE($B$2,3,1)-WEEKDAY(DATE($B$2,3,1),1)+1+38&gt;=DATE($B$2,3,1),DATE($B$2,3,1)-WEEKDAY(DATE($B$2,3,1),1)+1+38&lt;=EOMONTH(DATE($B$2,3,1),0)),DAY(DATE($B$2,3,1)-WEEKDAY(DATE($B$2,3,1),1)+1+38),"")</f>
        <v/>
      </c>
      <c r="W11" s="4" t="str">
        <f>IF(AND(DATE($B$2,3,1)-WEEKDAY(DATE($B$2,3,1),1)+1+39&gt;=DATE($B$2,3,1),DATE($B$2,3,1)-WEEKDAY(DATE($B$2,3,1),1)+1+39&lt;=EOMONTH(DATE($B$2,3,1),0)),DAY(DATE($B$2,3,1)-WEEKDAY(DATE($B$2,3,1),1)+1+39),"")</f>
        <v/>
      </c>
      <c r="X11" s="4" t="str">
        <f>IF(AND(DATE($B$2,3,1)-WEEKDAY(DATE($B$2,3,1),1)+1+40&gt;=DATE($B$2,3,1),DATE($B$2,3,1)-WEEKDAY(DATE($B$2,3,1),1)+1+40&lt;=EOMONTH(DATE($B$2,3,1),0)),DAY(DATE($B$2,3,1)-WEEKDAY(DATE($B$2,3,1),1)+1+40),"")</f>
        <v/>
      </c>
      <c r="Y11" s="3" t="str">
        <f>IF(AND(DATE($B$2,3,1)-WEEKDAY(DATE($B$2,3,1),1)+1+41&gt;=DATE($B$2,3,1),DATE($B$2,3,1)-WEEKDAY(DATE($B$2,3,1),1)+1+41&lt;=EOMONTH(DATE($B$2,3,1),0)),DAY(DATE($B$2,3,1)-WEEKDAY(DATE($B$2,3,1),1)+1+41),"")</f>
        <v/>
      </c>
      <c r="AB11" s="3" t="str">
        <f>IF(AND(DATE($B$2,4,1)-WEEKDAY(DATE($B$2,4,1),1)+1+35&gt;=DATE($B$2,4,1),DATE($B$2,4,1)-WEEKDAY(DATE($B$2,4,1),1)+1+35&lt;=EOMONTH(DATE($B$2,4,1),0)),DAY(DATE($B$2,4,1)-WEEKDAY(DATE($B$2,4,1),1)+1+35),"")</f>
        <v/>
      </c>
      <c r="AC11" s="4" t="str">
        <f>IF(AND(DATE($B$2,4,1)-WEEKDAY(DATE($B$2,4,1),1)+1+36&gt;=DATE($B$2,4,1),DATE($B$2,4,1)-WEEKDAY(DATE($B$2,4,1),1)+1+36&lt;=EOMONTH(DATE($B$2,4,1),0)),DAY(DATE($B$2,4,1)-WEEKDAY(DATE($B$2,4,1),1)+1+36),"")</f>
        <v/>
      </c>
      <c r="AD11" s="4" t="str">
        <f>IF(AND(DATE($B$2,4,1)-WEEKDAY(DATE($B$2,4,1),1)+1+37&gt;=DATE($B$2,4,1),DATE($B$2,4,1)-WEEKDAY(DATE($B$2,4,1),1)+1+37&lt;=EOMONTH(DATE($B$2,4,1),0)),DAY(DATE($B$2,4,1)-WEEKDAY(DATE($B$2,4,1),1)+1+37),"")</f>
        <v/>
      </c>
      <c r="AE11" s="4" t="str">
        <f>IF(AND(DATE($B$2,4,1)-WEEKDAY(DATE($B$2,4,1),1)+1+38&gt;=DATE($B$2,4,1),DATE($B$2,4,1)-WEEKDAY(DATE($B$2,4,1),1)+1+38&lt;=EOMONTH(DATE($B$2,4,1),0)),DAY(DATE($B$2,4,1)-WEEKDAY(DATE($B$2,4,1),1)+1+38),"")</f>
        <v/>
      </c>
      <c r="AF11" s="4" t="str">
        <f>IF(AND(DATE($B$2,4,1)-WEEKDAY(DATE($B$2,4,1),1)+1+39&gt;=DATE($B$2,4,1),DATE($B$2,4,1)-WEEKDAY(DATE($B$2,4,1),1)+1+39&lt;=EOMONTH(DATE($B$2,4,1),0)),DAY(DATE($B$2,4,1)-WEEKDAY(DATE($B$2,4,1),1)+1+39),"")</f>
        <v/>
      </c>
      <c r="AG11" s="4" t="str">
        <f>IF(AND(DATE($B$2,4,1)-WEEKDAY(DATE($B$2,4,1),1)+1+40&gt;=DATE($B$2,4,1),DATE($B$2,4,1)-WEEKDAY(DATE($B$2,4,1),1)+1+40&lt;=EOMONTH(DATE($B$2,4,1),0)),DAY(DATE($B$2,4,1)-WEEKDAY(DATE($B$2,4,1),1)+1+40),"")</f>
        <v/>
      </c>
      <c r="AH11" s="3" t="str">
        <f>IF(AND(DATE($B$2,4,1)-WEEKDAY(DATE($B$2,4,1),1)+1+41&gt;=DATE($B$2,4,1),DATE($B$2,4,1)-WEEKDAY(DATE($B$2,4,1),1)+1+41&lt;=EOMONTH(DATE($B$2,4,1),0)),DAY(DATE($B$2,4,1)-WEEKDAY(DATE($B$2,4,1),1)+1+41),"")</f>
        <v/>
      </c>
    </row>
    <row r="14" spans="1:37" ht="18" x14ac:dyDescent="0.35">
      <c r="A14" s="12" t="s">
        <v>1</v>
      </c>
      <c r="B14" s="13"/>
      <c r="C14" s="13"/>
      <c r="D14" s="13"/>
      <c r="E14" s="13"/>
      <c r="F14" s="13"/>
      <c r="G14" s="13"/>
      <c r="J14" s="12" t="s">
        <v>12</v>
      </c>
      <c r="K14" s="13"/>
      <c r="L14" s="13"/>
      <c r="M14" s="13"/>
      <c r="N14" s="13"/>
      <c r="O14" s="13"/>
      <c r="P14" s="13"/>
      <c r="S14" s="12" t="s">
        <v>13</v>
      </c>
      <c r="T14" s="13"/>
      <c r="U14" s="13"/>
      <c r="V14" s="13"/>
      <c r="W14" s="13"/>
      <c r="X14" s="13"/>
      <c r="Y14" s="13"/>
      <c r="AB14" s="12" t="s">
        <v>14</v>
      </c>
      <c r="AC14" s="13"/>
      <c r="AD14" s="13"/>
      <c r="AE14" s="13"/>
      <c r="AF14" s="13"/>
      <c r="AG14" s="13"/>
      <c r="AH14" s="13"/>
    </row>
    <row r="15" spans="1:37" x14ac:dyDescent="0.3">
      <c r="A15" s="2" t="s">
        <v>18</v>
      </c>
      <c r="B15" s="2" t="s">
        <v>19</v>
      </c>
      <c r="C15" s="2" t="s">
        <v>1</v>
      </c>
      <c r="D15" s="2" t="s">
        <v>2</v>
      </c>
      <c r="E15" s="2" t="s">
        <v>20</v>
      </c>
      <c r="F15" s="2" t="s">
        <v>3</v>
      </c>
      <c r="G15" s="2" t="s">
        <v>0</v>
      </c>
      <c r="J15" s="2" t="s">
        <v>18</v>
      </c>
      <c r="K15" s="2" t="s">
        <v>19</v>
      </c>
      <c r="L15" s="2" t="s">
        <v>1</v>
      </c>
      <c r="M15" s="2" t="s">
        <v>2</v>
      </c>
      <c r="N15" s="2" t="s">
        <v>20</v>
      </c>
      <c r="O15" s="2" t="s">
        <v>3</v>
      </c>
      <c r="P15" s="2" t="s">
        <v>0</v>
      </c>
      <c r="S15" s="2" t="s">
        <v>18</v>
      </c>
      <c r="T15" s="2" t="s">
        <v>19</v>
      </c>
      <c r="U15" s="2" t="s">
        <v>1</v>
      </c>
      <c r="V15" s="2" t="s">
        <v>2</v>
      </c>
      <c r="W15" s="2" t="s">
        <v>20</v>
      </c>
      <c r="X15" s="2" t="s">
        <v>3</v>
      </c>
      <c r="Y15" s="2" t="s">
        <v>0</v>
      </c>
      <c r="AB15" s="2" t="s">
        <v>18</v>
      </c>
      <c r="AC15" s="2" t="s">
        <v>19</v>
      </c>
      <c r="AD15" s="2" t="s">
        <v>1</v>
      </c>
      <c r="AE15" s="2" t="s">
        <v>2</v>
      </c>
      <c r="AF15" s="2" t="s">
        <v>20</v>
      </c>
      <c r="AG15" s="2" t="s">
        <v>3</v>
      </c>
      <c r="AH15" s="2" t="s">
        <v>0</v>
      </c>
    </row>
    <row r="16" spans="1:37" x14ac:dyDescent="0.3">
      <c r="A16" s="3" t="str">
        <f>IF(AND(DATE($B$2,5,1)-WEEKDAY(DATE($B$2,5,1),1)+1+0&gt;=DATE($B$2,5,1),DATE($B$2,5,1)-WEEKDAY(DATE($B$2,5,1),1)+1+0&lt;=EOMONTH(DATE($B$2,5,1),0)),DAY(DATE($B$2,5,1)-WEEKDAY(DATE($B$2,5,1),1)+1+0),"")</f>
        <v/>
      </c>
      <c r="B16" s="4" t="str">
        <f>IF(AND(DATE($B$2,5,1)-WEEKDAY(DATE($B$2,5,1),1)+1+1&gt;=DATE($B$2,5,1),DATE($B$2,5,1)-WEEKDAY(DATE($B$2,5,1),1)+1+1&lt;=EOMONTH(DATE($B$2,5,1),0)),DAY(DATE($B$2,5,1)-WEEKDAY(DATE($B$2,5,1),1)+1+1),"")</f>
        <v/>
      </c>
      <c r="C16" s="4" t="str">
        <f>IF(AND(DATE($B$2,5,1)-WEEKDAY(DATE($B$2,5,1),1)+1+2&gt;=DATE($B$2,5,1),DATE($B$2,5,1)-WEEKDAY(DATE($B$2,5,1),1)+1+2&lt;=EOMONTH(DATE($B$2,5,1),0)),DAY(DATE($B$2,5,1)-WEEKDAY(DATE($B$2,5,1),1)+1+2),"")</f>
        <v/>
      </c>
      <c r="D16" s="4" t="str">
        <f>IF(AND(DATE($B$2,5,1)-WEEKDAY(DATE($B$2,5,1),1)+1+3&gt;=DATE($B$2,5,1),DATE($B$2,5,1)-WEEKDAY(DATE($B$2,5,1),1)+1+3&lt;=EOMONTH(DATE($B$2,5,1),0)),DAY(DATE($B$2,5,1)-WEEKDAY(DATE($B$2,5,1),1)+1+3),"")</f>
        <v/>
      </c>
      <c r="E16" s="4">
        <f>IF(AND(DATE($B$2,5,1)-WEEKDAY(DATE($B$2,5,1),1)+1+4&gt;=DATE($B$2,5,1),DATE($B$2,5,1)-WEEKDAY(DATE($B$2,5,1),1)+1+4&lt;=EOMONTH(DATE($B$2,5,1),0)),DAY(DATE($B$2,5,1)-WEEKDAY(DATE($B$2,5,1),1)+1+4),"")</f>
        <v>1</v>
      </c>
      <c r="F16" s="4">
        <f>IF(AND(DATE($B$2,5,1)-WEEKDAY(DATE($B$2,5,1),1)+1+5&gt;=DATE($B$2,5,1),DATE($B$2,5,1)-WEEKDAY(DATE($B$2,5,1),1)+1+5&lt;=EOMONTH(DATE($B$2,5,1),0)),DAY(DATE($B$2,5,1)-WEEKDAY(DATE($B$2,5,1),1)+1+5),"")</f>
        <v>2</v>
      </c>
      <c r="G16" s="3">
        <f>IF(AND(DATE($B$2,5,1)-WEEKDAY(DATE($B$2,5,1),1)+1+6&gt;=DATE($B$2,5,1),DATE($B$2,5,1)-WEEKDAY(DATE($B$2,5,1),1)+1+6&lt;=EOMONTH(DATE($B$2,5,1),0)),DAY(DATE($B$2,5,1)-WEEKDAY(DATE($B$2,5,1),1)+1+6),"")</f>
        <v>3</v>
      </c>
      <c r="J16" s="3">
        <f>IF(AND(DATE($B$2,6,1)-WEEKDAY(DATE($B$2,6,1),1)+1+0&gt;=DATE($B$2,6,1),DATE($B$2,6,1)-WEEKDAY(DATE($B$2,6,1),1)+1+0&lt;=EOMONTH(DATE($B$2,6,1),0)),DAY(DATE($B$2,6,1)-WEEKDAY(DATE($B$2,6,1),1)+1+0),"")</f>
        <v>1</v>
      </c>
      <c r="K16" s="4">
        <f>IF(AND(DATE($B$2,6,1)-WEEKDAY(DATE($B$2,6,1),1)+1+1&gt;=DATE($B$2,6,1),DATE($B$2,6,1)-WEEKDAY(DATE($B$2,6,1),1)+1+1&lt;=EOMONTH(DATE($B$2,6,1),0)),DAY(DATE($B$2,6,1)-WEEKDAY(DATE($B$2,6,1),1)+1+1),"")</f>
        <v>2</v>
      </c>
      <c r="L16" s="4">
        <f>IF(AND(DATE($B$2,6,1)-WEEKDAY(DATE($B$2,6,1),1)+1+2&gt;=DATE($B$2,6,1),DATE($B$2,6,1)-WEEKDAY(DATE($B$2,6,1),1)+1+2&lt;=EOMONTH(DATE($B$2,6,1),0)),DAY(DATE($B$2,6,1)-WEEKDAY(DATE($B$2,6,1),1)+1+2),"")</f>
        <v>3</v>
      </c>
      <c r="M16" s="4">
        <f>IF(AND(DATE($B$2,6,1)-WEEKDAY(DATE($B$2,6,1),1)+1+3&gt;=DATE($B$2,6,1),DATE($B$2,6,1)-WEEKDAY(DATE($B$2,6,1),1)+1+3&lt;=EOMONTH(DATE($B$2,6,1),0)),DAY(DATE($B$2,6,1)-WEEKDAY(DATE($B$2,6,1),1)+1+3),"")</f>
        <v>4</v>
      </c>
      <c r="N16" s="4">
        <f>IF(AND(DATE($B$2,6,1)-WEEKDAY(DATE($B$2,6,1),1)+1+4&gt;=DATE($B$2,6,1),DATE($B$2,6,1)-WEEKDAY(DATE($B$2,6,1),1)+1+4&lt;=EOMONTH(DATE($B$2,6,1),0)),DAY(DATE($B$2,6,1)-WEEKDAY(DATE($B$2,6,1),1)+1+4),"")</f>
        <v>5</v>
      </c>
      <c r="O16" s="4">
        <f>IF(AND(DATE($B$2,6,1)-WEEKDAY(DATE($B$2,6,1),1)+1+5&gt;=DATE($B$2,6,1),DATE($B$2,6,1)-WEEKDAY(DATE($B$2,6,1),1)+1+5&lt;=EOMONTH(DATE($B$2,6,1),0)),DAY(DATE($B$2,6,1)-WEEKDAY(DATE($B$2,6,1),1)+1+5),"")</f>
        <v>6</v>
      </c>
      <c r="P16" s="3">
        <f>IF(AND(DATE($B$2,6,1)-WEEKDAY(DATE($B$2,6,1),1)+1+6&gt;=DATE($B$2,6,1),DATE($B$2,6,1)-WEEKDAY(DATE($B$2,6,1),1)+1+6&lt;=EOMONTH(DATE($B$2,6,1),0)),DAY(DATE($B$2,6,1)-WEEKDAY(DATE($B$2,6,1),1)+1+6),"")</f>
        <v>7</v>
      </c>
      <c r="S16" s="3" t="str">
        <f>IF(AND(DATE($B$2,7,1)-WEEKDAY(DATE($B$2,7,1),1)+1+0&gt;=DATE($B$2,7,1),DATE($B$2,7,1)-WEEKDAY(DATE($B$2,7,1),1)+1+0&lt;=EOMONTH(DATE($B$2,7,1),0)),DAY(DATE($B$2,7,1)-WEEKDAY(DATE($B$2,7,1),1)+1+0),"")</f>
        <v/>
      </c>
      <c r="T16" s="4" t="str">
        <f>IF(AND(DATE($B$2,7,1)-WEEKDAY(DATE($B$2,7,1),1)+1+1&gt;=DATE($B$2,7,1),DATE($B$2,7,1)-WEEKDAY(DATE($B$2,7,1),1)+1+1&lt;=EOMONTH(DATE($B$2,7,1),0)),DAY(DATE($B$2,7,1)-WEEKDAY(DATE($B$2,7,1),1)+1+1),"")</f>
        <v/>
      </c>
      <c r="U16" s="4">
        <f>IF(AND(DATE($B$2,7,1)-WEEKDAY(DATE($B$2,7,1),1)+1+2&gt;=DATE($B$2,7,1),DATE($B$2,7,1)-WEEKDAY(DATE($B$2,7,1),1)+1+2&lt;=EOMONTH(DATE($B$2,7,1),0)),DAY(DATE($B$2,7,1)-WEEKDAY(DATE($B$2,7,1),1)+1+2),"")</f>
        <v>1</v>
      </c>
      <c r="V16" s="4">
        <f>IF(AND(DATE($B$2,7,1)-WEEKDAY(DATE($B$2,7,1),1)+1+3&gt;=DATE($B$2,7,1),DATE($B$2,7,1)-WEEKDAY(DATE($B$2,7,1),1)+1+3&lt;=EOMONTH(DATE($B$2,7,1),0)),DAY(DATE($B$2,7,1)-WEEKDAY(DATE($B$2,7,1),1)+1+3),"")</f>
        <v>2</v>
      </c>
      <c r="W16" s="4">
        <f>IF(AND(DATE($B$2,7,1)-WEEKDAY(DATE($B$2,7,1),1)+1+4&gt;=DATE($B$2,7,1),DATE($B$2,7,1)-WEEKDAY(DATE($B$2,7,1),1)+1+4&lt;=EOMONTH(DATE($B$2,7,1),0)),DAY(DATE($B$2,7,1)-WEEKDAY(DATE($B$2,7,1),1)+1+4),"")</f>
        <v>3</v>
      </c>
      <c r="X16" s="4">
        <f>IF(AND(DATE($B$2,7,1)-WEEKDAY(DATE($B$2,7,1),1)+1+5&gt;=DATE($B$2,7,1),DATE($B$2,7,1)-WEEKDAY(DATE($B$2,7,1),1)+1+5&lt;=EOMONTH(DATE($B$2,7,1),0)),DAY(DATE($B$2,7,1)-WEEKDAY(DATE($B$2,7,1),1)+1+5),"")</f>
        <v>4</v>
      </c>
      <c r="Y16" s="3">
        <f>IF(AND(DATE($B$2,7,1)-WEEKDAY(DATE($B$2,7,1),1)+1+6&gt;=DATE($B$2,7,1),DATE($B$2,7,1)-WEEKDAY(DATE($B$2,7,1),1)+1+6&lt;=EOMONTH(DATE($B$2,7,1),0)),DAY(DATE($B$2,7,1)-WEEKDAY(DATE($B$2,7,1),1)+1+6),"")</f>
        <v>5</v>
      </c>
      <c r="AB16" s="3" t="str">
        <f>IF(AND(DATE($B$2,8,1)-WEEKDAY(DATE($B$2,8,1),1)+1+0&gt;=DATE($B$2,8,1),DATE($B$2,8,1)-WEEKDAY(DATE($B$2,8,1),1)+1+0&lt;=EOMONTH(DATE($B$2,8,1),0)),DAY(DATE($B$2,8,1)-WEEKDAY(DATE($B$2,8,1),1)+1+0),"")</f>
        <v/>
      </c>
      <c r="AC16" s="4" t="str">
        <f>IF(AND(DATE($B$2,8,1)-WEEKDAY(DATE($B$2,8,1),1)+1+1&gt;=DATE($B$2,8,1),DATE($B$2,8,1)-WEEKDAY(DATE($B$2,8,1),1)+1+1&lt;=EOMONTH(DATE($B$2,8,1),0)),DAY(DATE($B$2,8,1)-WEEKDAY(DATE($B$2,8,1),1)+1+1),"")</f>
        <v/>
      </c>
      <c r="AD16" s="4" t="str">
        <f>IF(AND(DATE($B$2,8,1)-WEEKDAY(DATE($B$2,8,1),1)+1+2&gt;=DATE($B$2,8,1),DATE($B$2,8,1)-WEEKDAY(DATE($B$2,8,1),1)+1+2&lt;=EOMONTH(DATE($B$2,8,1),0)),DAY(DATE($B$2,8,1)-WEEKDAY(DATE($B$2,8,1),1)+1+2),"")</f>
        <v/>
      </c>
      <c r="AE16" s="4" t="str">
        <f>IF(AND(DATE($B$2,8,1)-WEEKDAY(DATE($B$2,8,1),1)+1+3&gt;=DATE($B$2,8,1),DATE($B$2,8,1)-WEEKDAY(DATE($B$2,8,1),1)+1+3&lt;=EOMONTH(DATE($B$2,8,1),0)),DAY(DATE($B$2,8,1)-WEEKDAY(DATE($B$2,8,1),1)+1+3),"")</f>
        <v/>
      </c>
      <c r="AF16" s="4" t="str">
        <f>IF(AND(DATE($B$2,8,1)-WEEKDAY(DATE($B$2,8,1),1)+1+4&gt;=DATE($B$2,8,1),DATE($B$2,8,1)-WEEKDAY(DATE($B$2,8,1),1)+1+4&lt;=EOMONTH(DATE($B$2,8,1),0)),DAY(DATE($B$2,8,1)-WEEKDAY(DATE($B$2,8,1),1)+1+4),"")</f>
        <v/>
      </c>
      <c r="AG16" s="4">
        <f>IF(AND(DATE($B$2,8,1)-WEEKDAY(DATE($B$2,8,1),1)+1+5&gt;=DATE($B$2,8,1),DATE($B$2,8,1)-WEEKDAY(DATE($B$2,8,1),1)+1+5&lt;=EOMONTH(DATE($B$2,8,1),0)),DAY(DATE($B$2,8,1)-WEEKDAY(DATE($B$2,8,1),1)+1+5),"")</f>
        <v>1</v>
      </c>
      <c r="AH16" s="3">
        <f>IF(AND(DATE($B$2,8,1)-WEEKDAY(DATE($B$2,8,1),1)+1+6&gt;=DATE($B$2,8,1),DATE($B$2,8,1)-WEEKDAY(DATE($B$2,8,1),1)+1+6&lt;=EOMONTH(DATE($B$2,8,1),0)),DAY(DATE($B$2,8,1)-WEEKDAY(DATE($B$2,8,1),1)+1+6),"")</f>
        <v>2</v>
      </c>
    </row>
    <row r="17" spans="1:34" x14ac:dyDescent="0.3">
      <c r="A17" s="3">
        <f>IF(AND(DATE($B$2,5,1)-WEEKDAY(DATE($B$2,5,1),1)+1+7&gt;=DATE($B$2,5,1),DATE($B$2,5,1)-WEEKDAY(DATE($B$2,5,1),1)+1+7&lt;=EOMONTH(DATE($B$2,5,1),0)),DAY(DATE($B$2,5,1)-WEEKDAY(DATE($B$2,5,1),1)+1+7),"")</f>
        <v>4</v>
      </c>
      <c r="B17" s="4">
        <f>IF(AND(DATE($B$2,5,1)-WEEKDAY(DATE($B$2,5,1),1)+1+8&gt;=DATE($B$2,5,1),DATE($B$2,5,1)-WEEKDAY(DATE($B$2,5,1),1)+1+8&lt;=EOMONTH(DATE($B$2,5,1),0)),DAY(DATE($B$2,5,1)-WEEKDAY(DATE($B$2,5,1),1)+1+8),"")</f>
        <v>5</v>
      </c>
      <c r="C17" s="4">
        <f>IF(AND(DATE($B$2,5,1)-WEEKDAY(DATE($B$2,5,1),1)+1+9&gt;=DATE($B$2,5,1),DATE($B$2,5,1)-WEEKDAY(DATE($B$2,5,1),1)+1+9&lt;=EOMONTH(DATE($B$2,5,1),0)),DAY(DATE($B$2,5,1)-WEEKDAY(DATE($B$2,5,1),1)+1+9),"")</f>
        <v>6</v>
      </c>
      <c r="D17" s="4">
        <f>IF(AND(DATE($B$2,5,1)-WEEKDAY(DATE($B$2,5,1),1)+1+10&gt;=DATE($B$2,5,1),DATE($B$2,5,1)-WEEKDAY(DATE($B$2,5,1),1)+1+10&lt;=EOMONTH(DATE($B$2,5,1),0)),DAY(DATE($B$2,5,1)-WEEKDAY(DATE($B$2,5,1),1)+1+10),"")</f>
        <v>7</v>
      </c>
      <c r="E17" s="4">
        <f>IF(AND(DATE($B$2,5,1)-WEEKDAY(DATE($B$2,5,1),1)+1+11&gt;=DATE($B$2,5,1),DATE($B$2,5,1)-WEEKDAY(DATE($B$2,5,1),1)+1+11&lt;=EOMONTH(DATE($B$2,5,1),0)),DAY(DATE($B$2,5,1)-WEEKDAY(DATE($B$2,5,1),1)+1+11),"")</f>
        <v>8</v>
      </c>
      <c r="F17" s="4">
        <f>IF(AND(DATE($B$2,5,1)-WEEKDAY(DATE($B$2,5,1),1)+1+12&gt;=DATE($B$2,5,1),DATE($B$2,5,1)-WEEKDAY(DATE($B$2,5,1),1)+1+12&lt;=EOMONTH(DATE($B$2,5,1),0)),DAY(DATE($B$2,5,1)-WEEKDAY(DATE($B$2,5,1),1)+1+12),"")</f>
        <v>9</v>
      </c>
      <c r="G17" s="3">
        <f>IF(AND(DATE($B$2,5,1)-WEEKDAY(DATE($B$2,5,1),1)+1+13&gt;=DATE($B$2,5,1),DATE($B$2,5,1)-WEEKDAY(DATE($B$2,5,1),1)+1+13&lt;=EOMONTH(DATE($B$2,5,1),0)),DAY(DATE($B$2,5,1)-WEEKDAY(DATE($B$2,5,1),1)+1+13),"")</f>
        <v>10</v>
      </c>
      <c r="J17" s="3">
        <f>IF(AND(DATE($B$2,6,1)-WEEKDAY(DATE($B$2,6,1),1)+1+7&gt;=DATE($B$2,6,1),DATE($B$2,6,1)-WEEKDAY(DATE($B$2,6,1),1)+1+7&lt;=EOMONTH(DATE($B$2,6,1),0)),DAY(DATE($B$2,6,1)-WEEKDAY(DATE($B$2,6,1),1)+1+7),"")</f>
        <v>8</v>
      </c>
      <c r="K17" s="4">
        <f>IF(AND(DATE($B$2,6,1)-WEEKDAY(DATE($B$2,6,1),1)+1+8&gt;=DATE($B$2,6,1),DATE($B$2,6,1)-WEEKDAY(DATE($B$2,6,1),1)+1+8&lt;=EOMONTH(DATE($B$2,6,1),0)),DAY(DATE($B$2,6,1)-WEEKDAY(DATE($B$2,6,1),1)+1+8),"")</f>
        <v>9</v>
      </c>
      <c r="L17" s="4">
        <f>IF(AND(DATE($B$2,6,1)-WEEKDAY(DATE($B$2,6,1),1)+1+9&gt;=DATE($B$2,6,1),DATE($B$2,6,1)-WEEKDAY(DATE($B$2,6,1),1)+1+9&lt;=EOMONTH(DATE($B$2,6,1),0)),DAY(DATE($B$2,6,1)-WEEKDAY(DATE($B$2,6,1),1)+1+9),"")</f>
        <v>10</v>
      </c>
      <c r="M17" s="4">
        <f>IF(AND(DATE($B$2,6,1)-WEEKDAY(DATE($B$2,6,1),1)+1+10&gt;=DATE($B$2,6,1),DATE($B$2,6,1)-WEEKDAY(DATE($B$2,6,1),1)+1+10&lt;=EOMONTH(DATE($B$2,6,1),0)),DAY(DATE($B$2,6,1)-WEEKDAY(DATE($B$2,6,1),1)+1+10),"")</f>
        <v>11</v>
      </c>
      <c r="N17" s="4">
        <f>IF(AND(DATE($B$2,6,1)-WEEKDAY(DATE($B$2,6,1),1)+1+11&gt;=DATE($B$2,6,1),DATE($B$2,6,1)-WEEKDAY(DATE($B$2,6,1),1)+1+11&lt;=EOMONTH(DATE($B$2,6,1),0)),DAY(DATE($B$2,6,1)-WEEKDAY(DATE($B$2,6,1),1)+1+11),"")</f>
        <v>12</v>
      </c>
      <c r="O17" s="4">
        <f>IF(AND(DATE($B$2,6,1)-WEEKDAY(DATE($B$2,6,1),1)+1+12&gt;=DATE($B$2,6,1),DATE($B$2,6,1)-WEEKDAY(DATE($B$2,6,1),1)+1+12&lt;=EOMONTH(DATE($B$2,6,1),0)),DAY(DATE($B$2,6,1)-WEEKDAY(DATE($B$2,6,1),1)+1+12),"")</f>
        <v>13</v>
      </c>
      <c r="P17" s="3">
        <f>IF(AND(DATE($B$2,6,1)-WEEKDAY(DATE($B$2,6,1),1)+1+13&gt;=DATE($B$2,6,1),DATE($B$2,6,1)-WEEKDAY(DATE($B$2,6,1),1)+1+13&lt;=EOMONTH(DATE($B$2,6,1),0)),DAY(DATE($B$2,6,1)-WEEKDAY(DATE($B$2,6,1),1)+1+13),"")</f>
        <v>14</v>
      </c>
      <c r="S17" s="3">
        <f>IF(AND(DATE($B$2,7,1)-WEEKDAY(DATE($B$2,7,1),1)+1+7&gt;=DATE($B$2,7,1),DATE($B$2,7,1)-WEEKDAY(DATE($B$2,7,1),1)+1+7&lt;=EOMONTH(DATE($B$2,7,1),0)),DAY(DATE($B$2,7,1)-WEEKDAY(DATE($B$2,7,1),1)+1+7),"")</f>
        <v>6</v>
      </c>
      <c r="T17" s="4">
        <f>IF(AND(DATE($B$2,7,1)-WEEKDAY(DATE($B$2,7,1),1)+1+8&gt;=DATE($B$2,7,1),DATE($B$2,7,1)-WEEKDAY(DATE($B$2,7,1),1)+1+8&lt;=EOMONTH(DATE($B$2,7,1),0)),DAY(DATE($B$2,7,1)-WEEKDAY(DATE($B$2,7,1),1)+1+8),"")</f>
        <v>7</v>
      </c>
      <c r="U17" s="4">
        <f>IF(AND(DATE($B$2,7,1)-WEEKDAY(DATE($B$2,7,1),1)+1+9&gt;=DATE($B$2,7,1),DATE($B$2,7,1)-WEEKDAY(DATE($B$2,7,1),1)+1+9&lt;=EOMONTH(DATE($B$2,7,1),0)),DAY(DATE($B$2,7,1)-WEEKDAY(DATE($B$2,7,1),1)+1+9),"")</f>
        <v>8</v>
      </c>
      <c r="V17" s="4">
        <f>IF(AND(DATE($B$2,7,1)-WEEKDAY(DATE($B$2,7,1),1)+1+10&gt;=DATE($B$2,7,1),DATE($B$2,7,1)-WEEKDAY(DATE($B$2,7,1),1)+1+10&lt;=EOMONTH(DATE($B$2,7,1),0)),DAY(DATE($B$2,7,1)-WEEKDAY(DATE($B$2,7,1),1)+1+10),"")</f>
        <v>9</v>
      </c>
      <c r="W17" s="4">
        <f>IF(AND(DATE($B$2,7,1)-WEEKDAY(DATE($B$2,7,1),1)+1+11&gt;=DATE($B$2,7,1),DATE($B$2,7,1)-WEEKDAY(DATE($B$2,7,1),1)+1+11&lt;=EOMONTH(DATE($B$2,7,1),0)),DAY(DATE($B$2,7,1)-WEEKDAY(DATE($B$2,7,1),1)+1+11),"")</f>
        <v>10</v>
      </c>
      <c r="X17" s="4">
        <f>IF(AND(DATE($B$2,7,1)-WEEKDAY(DATE($B$2,7,1),1)+1+12&gt;=DATE($B$2,7,1),DATE($B$2,7,1)-WEEKDAY(DATE($B$2,7,1),1)+1+12&lt;=EOMONTH(DATE($B$2,7,1),0)),DAY(DATE($B$2,7,1)-WEEKDAY(DATE($B$2,7,1),1)+1+12),"")</f>
        <v>11</v>
      </c>
      <c r="Y17" s="3">
        <f>IF(AND(DATE($B$2,7,1)-WEEKDAY(DATE($B$2,7,1),1)+1+13&gt;=DATE($B$2,7,1),DATE($B$2,7,1)-WEEKDAY(DATE($B$2,7,1),1)+1+13&lt;=EOMONTH(DATE($B$2,7,1),0)),DAY(DATE($B$2,7,1)-WEEKDAY(DATE($B$2,7,1),1)+1+13),"")</f>
        <v>12</v>
      </c>
      <c r="AB17" s="3">
        <f>IF(AND(DATE($B$2,8,1)-WEEKDAY(DATE($B$2,8,1),1)+1+7&gt;=DATE($B$2,8,1),DATE($B$2,8,1)-WEEKDAY(DATE($B$2,8,1),1)+1+7&lt;=EOMONTH(DATE($B$2,8,1),0)),DAY(DATE($B$2,8,1)-WEEKDAY(DATE($B$2,8,1),1)+1+7),"")</f>
        <v>3</v>
      </c>
      <c r="AC17" s="4">
        <f>IF(AND(DATE($B$2,8,1)-WEEKDAY(DATE($B$2,8,1),1)+1+8&gt;=DATE($B$2,8,1),DATE($B$2,8,1)-WEEKDAY(DATE($B$2,8,1),1)+1+8&lt;=EOMONTH(DATE($B$2,8,1),0)),DAY(DATE($B$2,8,1)-WEEKDAY(DATE($B$2,8,1),1)+1+8),"")</f>
        <v>4</v>
      </c>
      <c r="AD17" s="4">
        <f>IF(AND(DATE($B$2,8,1)-WEEKDAY(DATE($B$2,8,1),1)+1+9&gt;=DATE($B$2,8,1),DATE($B$2,8,1)-WEEKDAY(DATE($B$2,8,1),1)+1+9&lt;=EOMONTH(DATE($B$2,8,1),0)),DAY(DATE($B$2,8,1)-WEEKDAY(DATE($B$2,8,1),1)+1+9),"")</f>
        <v>5</v>
      </c>
      <c r="AE17" s="4">
        <f>IF(AND(DATE($B$2,8,1)-WEEKDAY(DATE($B$2,8,1),1)+1+10&gt;=DATE($B$2,8,1),DATE($B$2,8,1)-WEEKDAY(DATE($B$2,8,1),1)+1+10&lt;=EOMONTH(DATE($B$2,8,1),0)),DAY(DATE($B$2,8,1)-WEEKDAY(DATE($B$2,8,1),1)+1+10),"")</f>
        <v>6</v>
      </c>
      <c r="AF17" s="4">
        <f>IF(AND(DATE($B$2,8,1)-WEEKDAY(DATE($B$2,8,1),1)+1+11&gt;=DATE($B$2,8,1),DATE($B$2,8,1)-WEEKDAY(DATE($B$2,8,1),1)+1+11&lt;=EOMONTH(DATE($B$2,8,1),0)),DAY(DATE($B$2,8,1)-WEEKDAY(DATE($B$2,8,1),1)+1+11),"")</f>
        <v>7</v>
      </c>
      <c r="AG17" s="4">
        <f>IF(AND(DATE($B$2,8,1)-WEEKDAY(DATE($B$2,8,1),1)+1+12&gt;=DATE($B$2,8,1),DATE($B$2,8,1)-WEEKDAY(DATE($B$2,8,1),1)+1+12&lt;=EOMONTH(DATE($B$2,8,1),0)),DAY(DATE($B$2,8,1)-WEEKDAY(DATE($B$2,8,1),1)+1+12),"")</f>
        <v>8</v>
      </c>
      <c r="AH17" s="3">
        <f>IF(AND(DATE($B$2,8,1)-WEEKDAY(DATE($B$2,8,1),1)+1+13&gt;=DATE($B$2,8,1),DATE($B$2,8,1)-WEEKDAY(DATE($B$2,8,1),1)+1+13&lt;=EOMONTH(DATE($B$2,8,1),0)),DAY(DATE($B$2,8,1)-WEEKDAY(DATE($B$2,8,1),1)+1+13),"")</f>
        <v>9</v>
      </c>
    </row>
    <row r="18" spans="1:34" x14ac:dyDescent="0.3">
      <c r="A18" s="3">
        <f>IF(AND(DATE($B$2,5,1)-WEEKDAY(DATE($B$2,5,1),1)+1+14&gt;=DATE($B$2,5,1),DATE($B$2,5,1)-WEEKDAY(DATE($B$2,5,1),1)+1+14&lt;=EOMONTH(DATE($B$2,5,1),0)),DAY(DATE($B$2,5,1)-WEEKDAY(DATE($B$2,5,1),1)+1+14),"")</f>
        <v>11</v>
      </c>
      <c r="B18" s="4">
        <f>IF(AND(DATE($B$2,5,1)-WEEKDAY(DATE($B$2,5,1),1)+1+15&gt;=DATE($B$2,5,1),DATE($B$2,5,1)-WEEKDAY(DATE($B$2,5,1),1)+1+15&lt;=EOMONTH(DATE($B$2,5,1),0)),DAY(DATE($B$2,5,1)-WEEKDAY(DATE($B$2,5,1),1)+1+15),"")</f>
        <v>12</v>
      </c>
      <c r="C18" s="4">
        <f>IF(AND(DATE($B$2,5,1)-WEEKDAY(DATE($B$2,5,1),1)+1+16&gt;=DATE($B$2,5,1),DATE($B$2,5,1)-WEEKDAY(DATE($B$2,5,1),1)+1+16&lt;=EOMONTH(DATE($B$2,5,1),0)),DAY(DATE($B$2,5,1)-WEEKDAY(DATE($B$2,5,1),1)+1+16),"")</f>
        <v>13</v>
      </c>
      <c r="D18" s="4">
        <f>IF(AND(DATE($B$2,5,1)-WEEKDAY(DATE($B$2,5,1),1)+1+17&gt;=DATE($B$2,5,1),DATE($B$2,5,1)-WEEKDAY(DATE($B$2,5,1),1)+1+17&lt;=EOMONTH(DATE($B$2,5,1),0)),DAY(DATE($B$2,5,1)-WEEKDAY(DATE($B$2,5,1),1)+1+17),"")</f>
        <v>14</v>
      </c>
      <c r="E18" s="4">
        <f>IF(AND(DATE($B$2,5,1)-WEEKDAY(DATE($B$2,5,1),1)+1+18&gt;=DATE($B$2,5,1),DATE($B$2,5,1)-WEEKDAY(DATE($B$2,5,1),1)+1+18&lt;=EOMONTH(DATE($B$2,5,1),0)),DAY(DATE($B$2,5,1)-WEEKDAY(DATE($B$2,5,1),1)+1+18),"")</f>
        <v>15</v>
      </c>
      <c r="F18" s="4">
        <f>IF(AND(DATE($B$2,5,1)-WEEKDAY(DATE($B$2,5,1),1)+1+19&gt;=DATE($B$2,5,1),DATE($B$2,5,1)-WEEKDAY(DATE($B$2,5,1),1)+1+19&lt;=EOMONTH(DATE($B$2,5,1),0)),DAY(DATE($B$2,5,1)-WEEKDAY(DATE($B$2,5,1),1)+1+19),"")</f>
        <v>16</v>
      </c>
      <c r="G18" s="3">
        <f>IF(AND(DATE($B$2,5,1)-WEEKDAY(DATE($B$2,5,1),1)+1+20&gt;=DATE($B$2,5,1),DATE($B$2,5,1)-WEEKDAY(DATE($B$2,5,1),1)+1+20&lt;=EOMONTH(DATE($B$2,5,1),0)),DAY(DATE($B$2,5,1)-WEEKDAY(DATE($B$2,5,1),1)+1+20),"")</f>
        <v>17</v>
      </c>
      <c r="J18" s="3">
        <f>IF(AND(DATE($B$2,6,1)-WEEKDAY(DATE($B$2,6,1),1)+1+14&gt;=DATE($B$2,6,1),DATE($B$2,6,1)-WEEKDAY(DATE($B$2,6,1),1)+1+14&lt;=EOMONTH(DATE($B$2,6,1),0)),DAY(DATE($B$2,6,1)-WEEKDAY(DATE($B$2,6,1),1)+1+14),"")</f>
        <v>15</v>
      </c>
      <c r="K18" s="4">
        <f>IF(AND(DATE($B$2,6,1)-WEEKDAY(DATE($B$2,6,1),1)+1+15&gt;=DATE($B$2,6,1),DATE($B$2,6,1)-WEEKDAY(DATE($B$2,6,1),1)+1+15&lt;=EOMONTH(DATE($B$2,6,1),0)),DAY(DATE($B$2,6,1)-WEEKDAY(DATE($B$2,6,1),1)+1+15),"")</f>
        <v>16</v>
      </c>
      <c r="L18" s="4">
        <f>IF(AND(DATE($B$2,6,1)-WEEKDAY(DATE($B$2,6,1),1)+1+16&gt;=DATE($B$2,6,1),DATE($B$2,6,1)-WEEKDAY(DATE($B$2,6,1),1)+1+16&lt;=EOMONTH(DATE($B$2,6,1),0)),DAY(DATE($B$2,6,1)-WEEKDAY(DATE($B$2,6,1),1)+1+16),"")</f>
        <v>17</v>
      </c>
      <c r="M18" s="4">
        <f>IF(AND(DATE($B$2,6,1)-WEEKDAY(DATE($B$2,6,1),1)+1+17&gt;=DATE($B$2,6,1),DATE($B$2,6,1)-WEEKDAY(DATE($B$2,6,1),1)+1+17&lt;=EOMONTH(DATE($B$2,6,1),0)),DAY(DATE($B$2,6,1)-WEEKDAY(DATE($B$2,6,1),1)+1+17),"")</f>
        <v>18</v>
      </c>
      <c r="N18" s="4">
        <f>IF(AND(DATE($B$2,6,1)-WEEKDAY(DATE($B$2,6,1),1)+1+18&gt;=DATE($B$2,6,1),DATE($B$2,6,1)-WEEKDAY(DATE($B$2,6,1),1)+1+18&lt;=EOMONTH(DATE($B$2,6,1),0)),DAY(DATE($B$2,6,1)-WEEKDAY(DATE($B$2,6,1),1)+1+18),"")</f>
        <v>19</v>
      </c>
      <c r="O18" s="4">
        <f>IF(AND(DATE($B$2,6,1)-WEEKDAY(DATE($B$2,6,1),1)+1+19&gt;=DATE($B$2,6,1),DATE($B$2,6,1)-WEEKDAY(DATE($B$2,6,1),1)+1+19&lt;=EOMONTH(DATE($B$2,6,1),0)),DAY(DATE($B$2,6,1)-WEEKDAY(DATE($B$2,6,1),1)+1+19),"")</f>
        <v>20</v>
      </c>
      <c r="P18" s="3">
        <f>IF(AND(DATE($B$2,6,1)-WEEKDAY(DATE($B$2,6,1),1)+1+20&gt;=DATE($B$2,6,1),DATE($B$2,6,1)-WEEKDAY(DATE($B$2,6,1),1)+1+20&lt;=EOMONTH(DATE($B$2,6,1),0)),DAY(DATE($B$2,6,1)-WEEKDAY(DATE($B$2,6,1),1)+1+20),"")</f>
        <v>21</v>
      </c>
      <c r="S18" s="3">
        <f>IF(AND(DATE($B$2,7,1)-WEEKDAY(DATE($B$2,7,1),1)+1+14&gt;=DATE($B$2,7,1),DATE($B$2,7,1)-WEEKDAY(DATE($B$2,7,1),1)+1+14&lt;=EOMONTH(DATE($B$2,7,1),0)),DAY(DATE($B$2,7,1)-WEEKDAY(DATE($B$2,7,1),1)+1+14),"")</f>
        <v>13</v>
      </c>
      <c r="T18" s="4">
        <f>IF(AND(DATE($B$2,7,1)-WEEKDAY(DATE($B$2,7,1),1)+1+15&gt;=DATE($B$2,7,1),DATE($B$2,7,1)-WEEKDAY(DATE($B$2,7,1),1)+1+15&lt;=EOMONTH(DATE($B$2,7,1),0)),DAY(DATE($B$2,7,1)-WEEKDAY(DATE($B$2,7,1),1)+1+15),"")</f>
        <v>14</v>
      </c>
      <c r="U18" s="4">
        <f>IF(AND(DATE($B$2,7,1)-WEEKDAY(DATE($B$2,7,1),1)+1+16&gt;=DATE($B$2,7,1),DATE($B$2,7,1)-WEEKDAY(DATE($B$2,7,1),1)+1+16&lt;=EOMONTH(DATE($B$2,7,1),0)),DAY(DATE($B$2,7,1)-WEEKDAY(DATE($B$2,7,1),1)+1+16),"")</f>
        <v>15</v>
      </c>
      <c r="V18" s="4">
        <f>IF(AND(DATE($B$2,7,1)-WEEKDAY(DATE($B$2,7,1),1)+1+17&gt;=DATE($B$2,7,1),DATE($B$2,7,1)-WEEKDAY(DATE($B$2,7,1),1)+1+17&lt;=EOMONTH(DATE($B$2,7,1),0)),DAY(DATE($B$2,7,1)-WEEKDAY(DATE($B$2,7,1),1)+1+17),"")</f>
        <v>16</v>
      </c>
      <c r="W18" s="4">
        <f>IF(AND(DATE($B$2,7,1)-WEEKDAY(DATE($B$2,7,1),1)+1+18&gt;=DATE($B$2,7,1),DATE($B$2,7,1)-WEEKDAY(DATE($B$2,7,1),1)+1+18&lt;=EOMONTH(DATE($B$2,7,1),0)),DAY(DATE($B$2,7,1)-WEEKDAY(DATE($B$2,7,1),1)+1+18),"")</f>
        <v>17</v>
      </c>
      <c r="X18" s="4">
        <f>IF(AND(DATE($B$2,7,1)-WEEKDAY(DATE($B$2,7,1),1)+1+19&gt;=DATE($B$2,7,1),DATE($B$2,7,1)-WEEKDAY(DATE($B$2,7,1),1)+1+19&lt;=EOMONTH(DATE($B$2,7,1),0)),DAY(DATE($B$2,7,1)-WEEKDAY(DATE($B$2,7,1),1)+1+19),"")</f>
        <v>18</v>
      </c>
      <c r="Y18" s="3">
        <f>IF(AND(DATE($B$2,7,1)-WEEKDAY(DATE($B$2,7,1),1)+1+20&gt;=DATE($B$2,7,1),DATE($B$2,7,1)-WEEKDAY(DATE($B$2,7,1),1)+1+20&lt;=EOMONTH(DATE($B$2,7,1),0)),DAY(DATE($B$2,7,1)-WEEKDAY(DATE($B$2,7,1),1)+1+20),"")</f>
        <v>19</v>
      </c>
      <c r="AB18" s="3">
        <f>IF(AND(DATE($B$2,8,1)-WEEKDAY(DATE($B$2,8,1),1)+1+14&gt;=DATE($B$2,8,1),DATE($B$2,8,1)-WEEKDAY(DATE($B$2,8,1),1)+1+14&lt;=EOMONTH(DATE($B$2,8,1),0)),DAY(DATE($B$2,8,1)-WEEKDAY(DATE($B$2,8,1),1)+1+14),"")</f>
        <v>10</v>
      </c>
      <c r="AC18" s="4">
        <f>IF(AND(DATE($B$2,8,1)-WEEKDAY(DATE($B$2,8,1),1)+1+15&gt;=DATE($B$2,8,1),DATE($B$2,8,1)-WEEKDAY(DATE($B$2,8,1),1)+1+15&lt;=EOMONTH(DATE($B$2,8,1),0)),DAY(DATE($B$2,8,1)-WEEKDAY(DATE($B$2,8,1),1)+1+15),"")</f>
        <v>11</v>
      </c>
      <c r="AD18" s="4">
        <f>IF(AND(DATE($B$2,8,1)-WEEKDAY(DATE($B$2,8,1),1)+1+16&gt;=DATE($B$2,8,1),DATE($B$2,8,1)-WEEKDAY(DATE($B$2,8,1),1)+1+16&lt;=EOMONTH(DATE($B$2,8,1),0)),DAY(DATE($B$2,8,1)-WEEKDAY(DATE($B$2,8,1),1)+1+16),"")</f>
        <v>12</v>
      </c>
      <c r="AE18" s="4">
        <f>IF(AND(DATE($B$2,8,1)-WEEKDAY(DATE($B$2,8,1),1)+1+17&gt;=DATE($B$2,8,1),DATE($B$2,8,1)-WEEKDAY(DATE($B$2,8,1),1)+1+17&lt;=EOMONTH(DATE($B$2,8,1),0)),DAY(DATE($B$2,8,1)-WEEKDAY(DATE($B$2,8,1),1)+1+17),"")</f>
        <v>13</v>
      </c>
      <c r="AF18" s="4">
        <f>IF(AND(DATE($B$2,8,1)-WEEKDAY(DATE($B$2,8,1),1)+1+18&gt;=DATE($B$2,8,1),DATE($B$2,8,1)-WEEKDAY(DATE($B$2,8,1),1)+1+18&lt;=EOMONTH(DATE($B$2,8,1),0)),DAY(DATE($B$2,8,1)-WEEKDAY(DATE($B$2,8,1),1)+1+18),"")</f>
        <v>14</v>
      </c>
      <c r="AG18" s="4">
        <f>IF(AND(DATE($B$2,8,1)-WEEKDAY(DATE($B$2,8,1),1)+1+19&gt;=DATE($B$2,8,1),DATE($B$2,8,1)-WEEKDAY(DATE($B$2,8,1),1)+1+19&lt;=EOMONTH(DATE($B$2,8,1),0)),DAY(DATE($B$2,8,1)-WEEKDAY(DATE($B$2,8,1),1)+1+19),"")</f>
        <v>15</v>
      </c>
      <c r="AH18" s="3">
        <f>IF(AND(DATE($B$2,8,1)-WEEKDAY(DATE($B$2,8,1),1)+1+20&gt;=DATE($B$2,8,1),DATE($B$2,8,1)-WEEKDAY(DATE($B$2,8,1),1)+1+20&lt;=EOMONTH(DATE($B$2,8,1),0)),DAY(DATE($B$2,8,1)-WEEKDAY(DATE($B$2,8,1),1)+1+20),"")</f>
        <v>16</v>
      </c>
    </row>
    <row r="19" spans="1:34" x14ac:dyDescent="0.3">
      <c r="A19" s="3">
        <f>IF(AND(DATE($B$2,5,1)-WEEKDAY(DATE($B$2,5,1),1)+1+21&gt;=DATE($B$2,5,1),DATE($B$2,5,1)-WEEKDAY(DATE($B$2,5,1),1)+1+21&lt;=EOMONTH(DATE($B$2,5,1),0)),DAY(DATE($B$2,5,1)-WEEKDAY(DATE($B$2,5,1),1)+1+21),"")</f>
        <v>18</v>
      </c>
      <c r="B19" s="4">
        <f>IF(AND(DATE($B$2,5,1)-WEEKDAY(DATE($B$2,5,1),1)+1+22&gt;=DATE($B$2,5,1),DATE($B$2,5,1)-WEEKDAY(DATE($B$2,5,1),1)+1+22&lt;=EOMONTH(DATE($B$2,5,1),0)),DAY(DATE($B$2,5,1)-WEEKDAY(DATE($B$2,5,1),1)+1+22),"")</f>
        <v>19</v>
      </c>
      <c r="C19" s="4">
        <f>IF(AND(DATE($B$2,5,1)-WEEKDAY(DATE($B$2,5,1),1)+1+23&gt;=DATE($B$2,5,1),DATE($B$2,5,1)-WEEKDAY(DATE($B$2,5,1),1)+1+23&lt;=EOMONTH(DATE($B$2,5,1),0)),DAY(DATE($B$2,5,1)-WEEKDAY(DATE($B$2,5,1),1)+1+23),"")</f>
        <v>20</v>
      </c>
      <c r="D19" s="4">
        <f>IF(AND(DATE($B$2,5,1)-WEEKDAY(DATE($B$2,5,1),1)+1+24&gt;=DATE($B$2,5,1),DATE($B$2,5,1)-WEEKDAY(DATE($B$2,5,1),1)+1+24&lt;=EOMONTH(DATE($B$2,5,1),0)),DAY(DATE($B$2,5,1)-WEEKDAY(DATE($B$2,5,1),1)+1+24),"")</f>
        <v>21</v>
      </c>
      <c r="E19" s="4">
        <f>IF(AND(DATE($B$2,5,1)-WEEKDAY(DATE($B$2,5,1),1)+1+25&gt;=DATE($B$2,5,1),DATE($B$2,5,1)-WEEKDAY(DATE($B$2,5,1),1)+1+25&lt;=EOMONTH(DATE($B$2,5,1),0)),DAY(DATE($B$2,5,1)-WEEKDAY(DATE($B$2,5,1),1)+1+25),"")</f>
        <v>22</v>
      </c>
      <c r="F19" s="4">
        <f>IF(AND(DATE($B$2,5,1)-WEEKDAY(DATE($B$2,5,1),1)+1+26&gt;=DATE($B$2,5,1),DATE($B$2,5,1)-WEEKDAY(DATE($B$2,5,1),1)+1+26&lt;=EOMONTH(DATE($B$2,5,1),0)),DAY(DATE($B$2,5,1)-WEEKDAY(DATE($B$2,5,1),1)+1+26),"")</f>
        <v>23</v>
      </c>
      <c r="G19" s="3">
        <f>IF(AND(DATE($B$2,5,1)-WEEKDAY(DATE($B$2,5,1),1)+1+27&gt;=DATE($B$2,5,1),DATE($B$2,5,1)-WEEKDAY(DATE($B$2,5,1),1)+1+27&lt;=EOMONTH(DATE($B$2,5,1),0)),DAY(DATE($B$2,5,1)-WEEKDAY(DATE($B$2,5,1),1)+1+27),"")</f>
        <v>24</v>
      </c>
      <c r="J19" s="3">
        <f>IF(AND(DATE($B$2,6,1)-WEEKDAY(DATE($B$2,6,1),1)+1+21&gt;=DATE($B$2,6,1),DATE($B$2,6,1)-WEEKDAY(DATE($B$2,6,1),1)+1+21&lt;=EOMONTH(DATE($B$2,6,1),0)),DAY(DATE($B$2,6,1)-WEEKDAY(DATE($B$2,6,1),1)+1+21),"")</f>
        <v>22</v>
      </c>
      <c r="K19" s="4">
        <f>IF(AND(DATE($B$2,6,1)-WEEKDAY(DATE($B$2,6,1),1)+1+22&gt;=DATE($B$2,6,1),DATE($B$2,6,1)-WEEKDAY(DATE($B$2,6,1),1)+1+22&lt;=EOMONTH(DATE($B$2,6,1),0)),DAY(DATE($B$2,6,1)-WEEKDAY(DATE($B$2,6,1),1)+1+22),"")</f>
        <v>23</v>
      </c>
      <c r="L19" s="4">
        <f>IF(AND(DATE($B$2,6,1)-WEEKDAY(DATE($B$2,6,1),1)+1+23&gt;=DATE($B$2,6,1),DATE($B$2,6,1)-WEEKDAY(DATE($B$2,6,1),1)+1+23&lt;=EOMONTH(DATE($B$2,6,1),0)),DAY(DATE($B$2,6,1)-WEEKDAY(DATE($B$2,6,1),1)+1+23),"")</f>
        <v>24</v>
      </c>
      <c r="M19" s="4">
        <f>IF(AND(DATE($B$2,6,1)-WEEKDAY(DATE($B$2,6,1),1)+1+24&gt;=DATE($B$2,6,1),DATE($B$2,6,1)-WEEKDAY(DATE($B$2,6,1),1)+1+24&lt;=EOMONTH(DATE($B$2,6,1),0)),DAY(DATE($B$2,6,1)-WEEKDAY(DATE($B$2,6,1),1)+1+24),"")</f>
        <v>25</v>
      </c>
      <c r="N19" s="4">
        <f>IF(AND(DATE($B$2,6,1)-WEEKDAY(DATE($B$2,6,1),1)+1+25&gt;=DATE($B$2,6,1),DATE($B$2,6,1)-WEEKDAY(DATE($B$2,6,1),1)+1+25&lt;=EOMONTH(DATE($B$2,6,1),0)),DAY(DATE($B$2,6,1)-WEEKDAY(DATE($B$2,6,1),1)+1+25),"")</f>
        <v>26</v>
      </c>
      <c r="O19" s="4">
        <f>IF(AND(DATE($B$2,6,1)-WEEKDAY(DATE($B$2,6,1),1)+1+26&gt;=DATE($B$2,6,1),DATE($B$2,6,1)-WEEKDAY(DATE($B$2,6,1),1)+1+26&lt;=EOMONTH(DATE($B$2,6,1),0)),DAY(DATE($B$2,6,1)-WEEKDAY(DATE($B$2,6,1),1)+1+26),"")</f>
        <v>27</v>
      </c>
      <c r="P19" s="3">
        <f>IF(AND(DATE($B$2,6,1)-WEEKDAY(DATE($B$2,6,1),1)+1+27&gt;=DATE($B$2,6,1),DATE($B$2,6,1)-WEEKDAY(DATE($B$2,6,1),1)+1+27&lt;=EOMONTH(DATE($B$2,6,1),0)),DAY(DATE($B$2,6,1)-WEEKDAY(DATE($B$2,6,1),1)+1+27),"")</f>
        <v>28</v>
      </c>
      <c r="S19" s="3">
        <f>IF(AND(DATE($B$2,7,1)-WEEKDAY(DATE($B$2,7,1),1)+1+21&gt;=DATE($B$2,7,1),DATE($B$2,7,1)-WEEKDAY(DATE($B$2,7,1),1)+1+21&lt;=EOMONTH(DATE($B$2,7,1),0)),DAY(DATE($B$2,7,1)-WEEKDAY(DATE($B$2,7,1),1)+1+21),"")</f>
        <v>20</v>
      </c>
      <c r="T19" s="4">
        <f>IF(AND(DATE($B$2,7,1)-WEEKDAY(DATE($B$2,7,1),1)+1+22&gt;=DATE($B$2,7,1),DATE($B$2,7,1)-WEEKDAY(DATE($B$2,7,1),1)+1+22&lt;=EOMONTH(DATE($B$2,7,1),0)),DAY(DATE($B$2,7,1)-WEEKDAY(DATE($B$2,7,1),1)+1+22),"")</f>
        <v>21</v>
      </c>
      <c r="U19" s="4">
        <f>IF(AND(DATE($B$2,7,1)-WEEKDAY(DATE($B$2,7,1),1)+1+23&gt;=DATE($B$2,7,1),DATE($B$2,7,1)-WEEKDAY(DATE($B$2,7,1),1)+1+23&lt;=EOMONTH(DATE($B$2,7,1),0)),DAY(DATE($B$2,7,1)-WEEKDAY(DATE($B$2,7,1),1)+1+23),"")</f>
        <v>22</v>
      </c>
      <c r="V19" s="4">
        <f>IF(AND(DATE($B$2,7,1)-WEEKDAY(DATE($B$2,7,1),1)+1+24&gt;=DATE($B$2,7,1),DATE($B$2,7,1)-WEEKDAY(DATE($B$2,7,1),1)+1+24&lt;=EOMONTH(DATE($B$2,7,1),0)),DAY(DATE($B$2,7,1)-WEEKDAY(DATE($B$2,7,1),1)+1+24),"")</f>
        <v>23</v>
      </c>
      <c r="W19" s="4">
        <f>IF(AND(DATE($B$2,7,1)-WEEKDAY(DATE($B$2,7,1),1)+1+25&gt;=DATE($B$2,7,1),DATE($B$2,7,1)-WEEKDAY(DATE($B$2,7,1),1)+1+25&lt;=EOMONTH(DATE($B$2,7,1),0)),DAY(DATE($B$2,7,1)-WEEKDAY(DATE($B$2,7,1),1)+1+25),"")</f>
        <v>24</v>
      </c>
      <c r="X19" s="4">
        <f>IF(AND(DATE($B$2,7,1)-WEEKDAY(DATE($B$2,7,1),1)+1+26&gt;=DATE($B$2,7,1),DATE($B$2,7,1)-WEEKDAY(DATE($B$2,7,1),1)+1+26&lt;=EOMONTH(DATE($B$2,7,1),0)),DAY(DATE($B$2,7,1)-WEEKDAY(DATE($B$2,7,1),1)+1+26),"")</f>
        <v>25</v>
      </c>
      <c r="Y19" s="3">
        <f>IF(AND(DATE($B$2,7,1)-WEEKDAY(DATE($B$2,7,1),1)+1+27&gt;=DATE($B$2,7,1),DATE($B$2,7,1)-WEEKDAY(DATE($B$2,7,1),1)+1+27&lt;=EOMONTH(DATE($B$2,7,1),0)),DAY(DATE($B$2,7,1)-WEEKDAY(DATE($B$2,7,1),1)+1+27),"")</f>
        <v>26</v>
      </c>
      <c r="AB19" s="3">
        <f>IF(AND(DATE($B$2,8,1)-WEEKDAY(DATE($B$2,8,1),1)+1+21&gt;=DATE($B$2,8,1),DATE($B$2,8,1)-WEEKDAY(DATE($B$2,8,1),1)+1+21&lt;=EOMONTH(DATE($B$2,8,1),0)),DAY(DATE($B$2,8,1)-WEEKDAY(DATE($B$2,8,1),1)+1+21),"")</f>
        <v>17</v>
      </c>
      <c r="AC19" s="4">
        <f>IF(AND(DATE($B$2,8,1)-WEEKDAY(DATE($B$2,8,1),1)+1+22&gt;=DATE($B$2,8,1),DATE($B$2,8,1)-WEEKDAY(DATE($B$2,8,1),1)+1+22&lt;=EOMONTH(DATE($B$2,8,1),0)),DAY(DATE($B$2,8,1)-WEEKDAY(DATE($B$2,8,1),1)+1+22),"")</f>
        <v>18</v>
      </c>
      <c r="AD19" s="4">
        <f>IF(AND(DATE($B$2,8,1)-WEEKDAY(DATE($B$2,8,1),1)+1+23&gt;=DATE($B$2,8,1),DATE($B$2,8,1)-WEEKDAY(DATE($B$2,8,1),1)+1+23&lt;=EOMONTH(DATE($B$2,8,1),0)),DAY(DATE($B$2,8,1)-WEEKDAY(DATE($B$2,8,1),1)+1+23),"")</f>
        <v>19</v>
      </c>
      <c r="AE19" s="4">
        <f>IF(AND(DATE($B$2,8,1)-WEEKDAY(DATE($B$2,8,1),1)+1+24&gt;=DATE($B$2,8,1),DATE($B$2,8,1)-WEEKDAY(DATE($B$2,8,1),1)+1+24&lt;=EOMONTH(DATE($B$2,8,1),0)),DAY(DATE($B$2,8,1)-WEEKDAY(DATE($B$2,8,1),1)+1+24),"")</f>
        <v>20</v>
      </c>
      <c r="AF19" s="4">
        <f>IF(AND(DATE($B$2,8,1)-WEEKDAY(DATE($B$2,8,1),1)+1+25&gt;=DATE($B$2,8,1),DATE($B$2,8,1)-WEEKDAY(DATE($B$2,8,1),1)+1+25&lt;=EOMONTH(DATE($B$2,8,1),0)),DAY(DATE($B$2,8,1)-WEEKDAY(DATE($B$2,8,1),1)+1+25),"")</f>
        <v>21</v>
      </c>
      <c r="AG19" s="4">
        <f>IF(AND(DATE($B$2,8,1)-WEEKDAY(DATE($B$2,8,1),1)+1+26&gt;=DATE($B$2,8,1),DATE($B$2,8,1)-WEEKDAY(DATE($B$2,8,1),1)+1+26&lt;=EOMONTH(DATE($B$2,8,1),0)),DAY(DATE($B$2,8,1)-WEEKDAY(DATE($B$2,8,1),1)+1+26),"")</f>
        <v>22</v>
      </c>
      <c r="AH19" s="3">
        <f>IF(AND(DATE($B$2,8,1)-WEEKDAY(DATE($B$2,8,1),1)+1+27&gt;=DATE($B$2,8,1),DATE($B$2,8,1)-WEEKDAY(DATE($B$2,8,1),1)+1+27&lt;=EOMONTH(DATE($B$2,8,1),0)),DAY(DATE($B$2,8,1)-WEEKDAY(DATE($B$2,8,1),1)+1+27),"")</f>
        <v>23</v>
      </c>
    </row>
    <row r="20" spans="1:34" x14ac:dyDescent="0.3">
      <c r="A20" s="3">
        <f>IF(AND(DATE($B$2,5,1)-WEEKDAY(DATE($B$2,5,1),1)+1+28&gt;=DATE($B$2,5,1),DATE($B$2,5,1)-WEEKDAY(DATE($B$2,5,1),1)+1+28&lt;=EOMONTH(DATE($B$2,5,1),0)),DAY(DATE($B$2,5,1)-WEEKDAY(DATE($B$2,5,1),1)+1+28),"")</f>
        <v>25</v>
      </c>
      <c r="B20" s="4">
        <f>IF(AND(DATE($B$2,5,1)-WEEKDAY(DATE($B$2,5,1),1)+1+29&gt;=DATE($B$2,5,1),DATE($B$2,5,1)-WEEKDAY(DATE($B$2,5,1),1)+1+29&lt;=EOMONTH(DATE($B$2,5,1),0)),DAY(DATE($B$2,5,1)-WEEKDAY(DATE($B$2,5,1),1)+1+29),"")</f>
        <v>26</v>
      </c>
      <c r="C20" s="4">
        <f>IF(AND(DATE($B$2,5,1)-WEEKDAY(DATE($B$2,5,1),1)+1+30&gt;=DATE($B$2,5,1),DATE($B$2,5,1)-WEEKDAY(DATE($B$2,5,1),1)+1+30&lt;=EOMONTH(DATE($B$2,5,1),0)),DAY(DATE($B$2,5,1)-WEEKDAY(DATE($B$2,5,1),1)+1+30),"")</f>
        <v>27</v>
      </c>
      <c r="D20" s="4">
        <f>IF(AND(DATE($B$2,5,1)-WEEKDAY(DATE($B$2,5,1),1)+1+31&gt;=DATE($B$2,5,1),DATE($B$2,5,1)-WEEKDAY(DATE($B$2,5,1),1)+1+31&lt;=EOMONTH(DATE($B$2,5,1),0)),DAY(DATE($B$2,5,1)-WEEKDAY(DATE($B$2,5,1),1)+1+31),"")</f>
        <v>28</v>
      </c>
      <c r="E20" s="4">
        <f>IF(AND(DATE($B$2,5,1)-WEEKDAY(DATE($B$2,5,1),1)+1+32&gt;=DATE($B$2,5,1),DATE($B$2,5,1)-WEEKDAY(DATE($B$2,5,1),1)+1+32&lt;=EOMONTH(DATE($B$2,5,1),0)),DAY(DATE($B$2,5,1)-WEEKDAY(DATE($B$2,5,1),1)+1+32),"")</f>
        <v>29</v>
      </c>
      <c r="F20" s="4">
        <f>IF(AND(DATE($B$2,5,1)-WEEKDAY(DATE($B$2,5,1),1)+1+33&gt;=DATE($B$2,5,1),DATE($B$2,5,1)-WEEKDAY(DATE($B$2,5,1),1)+1+33&lt;=EOMONTH(DATE($B$2,5,1),0)),DAY(DATE($B$2,5,1)-WEEKDAY(DATE($B$2,5,1),1)+1+33),"")</f>
        <v>30</v>
      </c>
      <c r="G20" s="3">
        <f>IF(AND(DATE($B$2,5,1)-WEEKDAY(DATE($B$2,5,1),1)+1+34&gt;=DATE($B$2,5,1),DATE($B$2,5,1)-WEEKDAY(DATE($B$2,5,1),1)+1+34&lt;=EOMONTH(DATE($B$2,5,1),0)),DAY(DATE($B$2,5,1)-WEEKDAY(DATE($B$2,5,1),1)+1+34),"")</f>
        <v>31</v>
      </c>
      <c r="J20" s="3">
        <f>IF(AND(DATE($B$2,6,1)-WEEKDAY(DATE($B$2,6,1),1)+1+28&gt;=DATE($B$2,6,1),DATE($B$2,6,1)-WEEKDAY(DATE($B$2,6,1),1)+1+28&lt;=EOMONTH(DATE($B$2,6,1),0)),DAY(DATE($B$2,6,1)-WEEKDAY(DATE($B$2,6,1),1)+1+28),"")</f>
        <v>29</v>
      </c>
      <c r="K20" s="4">
        <f>IF(AND(DATE($B$2,6,1)-WEEKDAY(DATE($B$2,6,1),1)+1+29&gt;=DATE($B$2,6,1),DATE($B$2,6,1)-WEEKDAY(DATE($B$2,6,1),1)+1+29&lt;=EOMONTH(DATE($B$2,6,1),0)),DAY(DATE($B$2,6,1)-WEEKDAY(DATE($B$2,6,1),1)+1+29),"")</f>
        <v>30</v>
      </c>
      <c r="L20" s="4" t="str">
        <f>IF(AND(DATE($B$2,6,1)-WEEKDAY(DATE($B$2,6,1),1)+1+30&gt;=DATE($B$2,6,1),DATE($B$2,6,1)-WEEKDAY(DATE($B$2,6,1),1)+1+30&lt;=EOMONTH(DATE($B$2,6,1),0)),DAY(DATE($B$2,6,1)-WEEKDAY(DATE($B$2,6,1),1)+1+30),"")</f>
        <v/>
      </c>
      <c r="M20" s="4" t="str">
        <f>IF(AND(DATE($B$2,6,1)-WEEKDAY(DATE($B$2,6,1),1)+1+31&gt;=DATE($B$2,6,1),DATE($B$2,6,1)-WEEKDAY(DATE($B$2,6,1),1)+1+31&lt;=EOMONTH(DATE($B$2,6,1),0)),DAY(DATE($B$2,6,1)-WEEKDAY(DATE($B$2,6,1),1)+1+31),"")</f>
        <v/>
      </c>
      <c r="N20" s="4" t="str">
        <f>IF(AND(DATE($B$2,6,1)-WEEKDAY(DATE($B$2,6,1),1)+1+32&gt;=DATE($B$2,6,1),DATE($B$2,6,1)-WEEKDAY(DATE($B$2,6,1),1)+1+32&lt;=EOMONTH(DATE($B$2,6,1),0)),DAY(DATE($B$2,6,1)-WEEKDAY(DATE($B$2,6,1),1)+1+32),"")</f>
        <v/>
      </c>
      <c r="O20" s="4" t="str">
        <f>IF(AND(DATE($B$2,6,1)-WEEKDAY(DATE($B$2,6,1),1)+1+33&gt;=DATE($B$2,6,1),DATE($B$2,6,1)-WEEKDAY(DATE($B$2,6,1),1)+1+33&lt;=EOMONTH(DATE($B$2,6,1),0)),DAY(DATE($B$2,6,1)-WEEKDAY(DATE($B$2,6,1),1)+1+33),"")</f>
        <v/>
      </c>
      <c r="P20" s="3" t="str">
        <f>IF(AND(DATE($B$2,6,1)-WEEKDAY(DATE($B$2,6,1),1)+1+34&gt;=DATE($B$2,6,1),DATE($B$2,6,1)-WEEKDAY(DATE($B$2,6,1),1)+1+34&lt;=EOMONTH(DATE($B$2,6,1),0)),DAY(DATE($B$2,6,1)-WEEKDAY(DATE($B$2,6,1),1)+1+34),"")</f>
        <v/>
      </c>
      <c r="S20" s="3">
        <f>IF(AND(DATE($B$2,7,1)-WEEKDAY(DATE($B$2,7,1),1)+1+28&gt;=DATE($B$2,7,1),DATE($B$2,7,1)-WEEKDAY(DATE($B$2,7,1),1)+1+28&lt;=EOMONTH(DATE($B$2,7,1),0)),DAY(DATE($B$2,7,1)-WEEKDAY(DATE($B$2,7,1),1)+1+28),"")</f>
        <v>27</v>
      </c>
      <c r="T20" s="4">
        <f>IF(AND(DATE($B$2,7,1)-WEEKDAY(DATE($B$2,7,1),1)+1+29&gt;=DATE($B$2,7,1),DATE($B$2,7,1)-WEEKDAY(DATE($B$2,7,1),1)+1+29&lt;=EOMONTH(DATE($B$2,7,1),0)),DAY(DATE($B$2,7,1)-WEEKDAY(DATE($B$2,7,1),1)+1+29),"")</f>
        <v>28</v>
      </c>
      <c r="U20" s="4">
        <f>IF(AND(DATE($B$2,7,1)-WEEKDAY(DATE($B$2,7,1),1)+1+30&gt;=DATE($B$2,7,1),DATE($B$2,7,1)-WEEKDAY(DATE($B$2,7,1),1)+1+30&lt;=EOMONTH(DATE($B$2,7,1),0)),DAY(DATE($B$2,7,1)-WEEKDAY(DATE($B$2,7,1),1)+1+30),"")</f>
        <v>29</v>
      </c>
      <c r="V20" s="4">
        <f>IF(AND(DATE($B$2,7,1)-WEEKDAY(DATE($B$2,7,1),1)+1+31&gt;=DATE($B$2,7,1),DATE($B$2,7,1)-WEEKDAY(DATE($B$2,7,1),1)+1+31&lt;=EOMONTH(DATE($B$2,7,1),0)),DAY(DATE($B$2,7,1)-WEEKDAY(DATE($B$2,7,1),1)+1+31),"")</f>
        <v>30</v>
      </c>
      <c r="W20" s="4">
        <f>IF(AND(DATE($B$2,7,1)-WEEKDAY(DATE($B$2,7,1),1)+1+32&gt;=DATE($B$2,7,1),DATE($B$2,7,1)-WEEKDAY(DATE($B$2,7,1),1)+1+32&lt;=EOMONTH(DATE($B$2,7,1),0)),DAY(DATE($B$2,7,1)-WEEKDAY(DATE($B$2,7,1),1)+1+32),"")</f>
        <v>31</v>
      </c>
      <c r="X20" s="4" t="str">
        <f>IF(AND(DATE($B$2,7,1)-WEEKDAY(DATE($B$2,7,1),1)+1+33&gt;=DATE($B$2,7,1),DATE($B$2,7,1)-WEEKDAY(DATE($B$2,7,1),1)+1+33&lt;=EOMONTH(DATE($B$2,7,1),0)),DAY(DATE($B$2,7,1)-WEEKDAY(DATE($B$2,7,1),1)+1+33),"")</f>
        <v/>
      </c>
      <c r="Y20" s="3" t="str">
        <f>IF(AND(DATE($B$2,7,1)-WEEKDAY(DATE($B$2,7,1),1)+1+34&gt;=DATE($B$2,7,1),DATE($B$2,7,1)-WEEKDAY(DATE($B$2,7,1),1)+1+34&lt;=EOMONTH(DATE($B$2,7,1),0)),DAY(DATE($B$2,7,1)-WEEKDAY(DATE($B$2,7,1),1)+1+34),"")</f>
        <v/>
      </c>
      <c r="AB20" s="3">
        <f>IF(AND(DATE($B$2,8,1)-WEEKDAY(DATE($B$2,8,1),1)+1+28&gt;=DATE($B$2,8,1),DATE($B$2,8,1)-WEEKDAY(DATE($B$2,8,1),1)+1+28&lt;=EOMONTH(DATE($B$2,8,1),0)),DAY(DATE($B$2,8,1)-WEEKDAY(DATE($B$2,8,1),1)+1+28),"")</f>
        <v>24</v>
      </c>
      <c r="AC20" s="4">
        <f>IF(AND(DATE($B$2,8,1)-WEEKDAY(DATE($B$2,8,1),1)+1+29&gt;=DATE($B$2,8,1),DATE($B$2,8,1)-WEEKDAY(DATE($B$2,8,1),1)+1+29&lt;=EOMONTH(DATE($B$2,8,1),0)),DAY(DATE($B$2,8,1)-WEEKDAY(DATE($B$2,8,1),1)+1+29),"")</f>
        <v>25</v>
      </c>
      <c r="AD20" s="4">
        <f>IF(AND(DATE($B$2,8,1)-WEEKDAY(DATE($B$2,8,1),1)+1+30&gt;=DATE($B$2,8,1),DATE($B$2,8,1)-WEEKDAY(DATE($B$2,8,1),1)+1+30&lt;=EOMONTH(DATE($B$2,8,1),0)),DAY(DATE($B$2,8,1)-WEEKDAY(DATE($B$2,8,1),1)+1+30),"")</f>
        <v>26</v>
      </c>
      <c r="AE20" s="4">
        <f>IF(AND(DATE($B$2,8,1)-WEEKDAY(DATE($B$2,8,1),1)+1+31&gt;=DATE($B$2,8,1),DATE($B$2,8,1)-WEEKDAY(DATE($B$2,8,1),1)+1+31&lt;=EOMONTH(DATE($B$2,8,1),0)),DAY(DATE($B$2,8,1)-WEEKDAY(DATE($B$2,8,1),1)+1+31),"")</f>
        <v>27</v>
      </c>
      <c r="AF20" s="4">
        <f>IF(AND(DATE($B$2,8,1)-WEEKDAY(DATE($B$2,8,1),1)+1+32&gt;=DATE($B$2,8,1),DATE($B$2,8,1)-WEEKDAY(DATE($B$2,8,1),1)+1+32&lt;=EOMONTH(DATE($B$2,8,1),0)),DAY(DATE($B$2,8,1)-WEEKDAY(DATE($B$2,8,1),1)+1+32),"")</f>
        <v>28</v>
      </c>
      <c r="AG20" s="4">
        <f>IF(AND(DATE($B$2,8,1)-WEEKDAY(DATE($B$2,8,1),1)+1+33&gt;=DATE($B$2,8,1),DATE($B$2,8,1)-WEEKDAY(DATE($B$2,8,1),1)+1+33&lt;=EOMONTH(DATE($B$2,8,1),0)),DAY(DATE($B$2,8,1)-WEEKDAY(DATE($B$2,8,1),1)+1+33),"")</f>
        <v>29</v>
      </c>
      <c r="AH20" s="3">
        <f>IF(AND(DATE($B$2,8,1)-WEEKDAY(DATE($B$2,8,1),1)+1+34&gt;=DATE($B$2,8,1),DATE($B$2,8,1)-WEEKDAY(DATE($B$2,8,1),1)+1+34&lt;=EOMONTH(DATE($B$2,8,1),0)),DAY(DATE($B$2,8,1)-WEEKDAY(DATE($B$2,8,1),1)+1+34),"")</f>
        <v>30</v>
      </c>
    </row>
    <row r="21" spans="1:34" x14ac:dyDescent="0.3">
      <c r="A21" s="3" t="str">
        <f>IF(AND(DATE($B$2,5,1)-WEEKDAY(DATE($B$2,5,1),1)+1+35&gt;=DATE($B$2,5,1),DATE($B$2,5,1)-WEEKDAY(DATE($B$2,5,1),1)+1+35&lt;=EOMONTH(DATE($B$2,5,1),0)),DAY(DATE($B$2,5,1)-WEEKDAY(DATE($B$2,5,1),1)+1+35),"")</f>
        <v/>
      </c>
      <c r="B21" s="4" t="str">
        <f>IF(AND(DATE($B$2,5,1)-WEEKDAY(DATE($B$2,5,1),1)+1+36&gt;=DATE($B$2,5,1),DATE($B$2,5,1)-WEEKDAY(DATE($B$2,5,1),1)+1+36&lt;=EOMONTH(DATE($B$2,5,1),0)),DAY(DATE($B$2,5,1)-WEEKDAY(DATE($B$2,5,1),1)+1+36),"")</f>
        <v/>
      </c>
      <c r="C21" s="4" t="str">
        <f>IF(AND(DATE($B$2,5,1)-WEEKDAY(DATE($B$2,5,1),1)+1+37&gt;=DATE($B$2,5,1),DATE($B$2,5,1)-WEEKDAY(DATE($B$2,5,1),1)+1+37&lt;=EOMONTH(DATE($B$2,5,1),0)),DAY(DATE($B$2,5,1)-WEEKDAY(DATE($B$2,5,1),1)+1+37),"")</f>
        <v/>
      </c>
      <c r="D21" s="4" t="str">
        <f>IF(AND(DATE($B$2,5,1)-WEEKDAY(DATE($B$2,5,1),1)+1+38&gt;=DATE($B$2,5,1),DATE($B$2,5,1)-WEEKDAY(DATE($B$2,5,1),1)+1+38&lt;=EOMONTH(DATE($B$2,5,1),0)),DAY(DATE($B$2,5,1)-WEEKDAY(DATE($B$2,5,1),1)+1+38),"")</f>
        <v/>
      </c>
      <c r="E21" s="4" t="str">
        <f>IF(AND(DATE($B$2,5,1)-WEEKDAY(DATE($B$2,5,1),1)+1+39&gt;=DATE($B$2,5,1),DATE($B$2,5,1)-WEEKDAY(DATE($B$2,5,1),1)+1+39&lt;=EOMONTH(DATE($B$2,5,1),0)),DAY(DATE($B$2,5,1)-WEEKDAY(DATE($B$2,5,1),1)+1+39),"")</f>
        <v/>
      </c>
      <c r="F21" s="4" t="str">
        <f>IF(AND(DATE($B$2,5,1)-WEEKDAY(DATE($B$2,5,1),1)+1+40&gt;=DATE($B$2,5,1),DATE($B$2,5,1)-WEEKDAY(DATE($B$2,5,1),1)+1+40&lt;=EOMONTH(DATE($B$2,5,1),0)),DAY(DATE($B$2,5,1)-WEEKDAY(DATE($B$2,5,1),1)+1+40),"")</f>
        <v/>
      </c>
      <c r="G21" s="3" t="str">
        <f>IF(AND(DATE($B$2,5,1)-WEEKDAY(DATE($B$2,5,1),1)+1+41&gt;=DATE($B$2,5,1),DATE($B$2,5,1)-WEEKDAY(DATE($B$2,5,1),1)+1+41&lt;=EOMONTH(DATE($B$2,5,1),0)),DAY(DATE($B$2,5,1)-WEEKDAY(DATE($B$2,5,1),1)+1+41),"")</f>
        <v/>
      </c>
      <c r="J21" s="3" t="str">
        <f>IF(AND(DATE($B$2,6,1)-WEEKDAY(DATE($B$2,6,1),1)+1+35&gt;=DATE($B$2,6,1),DATE($B$2,6,1)-WEEKDAY(DATE($B$2,6,1),1)+1+35&lt;=EOMONTH(DATE($B$2,6,1),0)),DAY(DATE($B$2,6,1)-WEEKDAY(DATE($B$2,6,1),1)+1+35),"")</f>
        <v/>
      </c>
      <c r="K21" s="4" t="str">
        <f>IF(AND(DATE($B$2,6,1)-WEEKDAY(DATE($B$2,6,1),1)+1+36&gt;=DATE($B$2,6,1),DATE($B$2,6,1)-WEEKDAY(DATE($B$2,6,1),1)+1+36&lt;=EOMONTH(DATE($B$2,6,1),0)),DAY(DATE($B$2,6,1)-WEEKDAY(DATE($B$2,6,1),1)+1+36),"")</f>
        <v/>
      </c>
      <c r="L21" s="4" t="str">
        <f>IF(AND(DATE($B$2,6,1)-WEEKDAY(DATE($B$2,6,1),1)+1+37&gt;=DATE($B$2,6,1),DATE($B$2,6,1)-WEEKDAY(DATE($B$2,6,1),1)+1+37&lt;=EOMONTH(DATE($B$2,6,1),0)),DAY(DATE($B$2,6,1)-WEEKDAY(DATE($B$2,6,1),1)+1+37),"")</f>
        <v/>
      </c>
      <c r="M21" s="4" t="str">
        <f>IF(AND(DATE($B$2,6,1)-WEEKDAY(DATE($B$2,6,1),1)+1+38&gt;=DATE($B$2,6,1),DATE($B$2,6,1)-WEEKDAY(DATE($B$2,6,1),1)+1+38&lt;=EOMONTH(DATE($B$2,6,1),0)),DAY(DATE($B$2,6,1)-WEEKDAY(DATE($B$2,6,1),1)+1+38),"")</f>
        <v/>
      </c>
      <c r="N21" s="4" t="str">
        <f>IF(AND(DATE($B$2,6,1)-WEEKDAY(DATE($B$2,6,1),1)+1+39&gt;=DATE($B$2,6,1),DATE($B$2,6,1)-WEEKDAY(DATE($B$2,6,1),1)+1+39&lt;=EOMONTH(DATE($B$2,6,1),0)),DAY(DATE($B$2,6,1)-WEEKDAY(DATE($B$2,6,1),1)+1+39),"")</f>
        <v/>
      </c>
      <c r="O21" s="4" t="str">
        <f>IF(AND(DATE($B$2,6,1)-WEEKDAY(DATE($B$2,6,1),1)+1+40&gt;=DATE($B$2,6,1),DATE($B$2,6,1)-WEEKDAY(DATE($B$2,6,1),1)+1+40&lt;=EOMONTH(DATE($B$2,6,1),0)),DAY(DATE($B$2,6,1)-WEEKDAY(DATE($B$2,6,1),1)+1+40),"")</f>
        <v/>
      </c>
      <c r="P21" s="3" t="str">
        <f>IF(AND(DATE($B$2,6,1)-WEEKDAY(DATE($B$2,6,1),1)+1+41&gt;=DATE($B$2,6,1),DATE($B$2,6,1)-WEEKDAY(DATE($B$2,6,1),1)+1+41&lt;=EOMONTH(DATE($B$2,6,1),0)),DAY(DATE($B$2,6,1)-WEEKDAY(DATE($B$2,6,1),1)+1+41),"")</f>
        <v/>
      </c>
      <c r="S21" s="3" t="str">
        <f>IF(AND(DATE($B$2,7,1)-WEEKDAY(DATE($B$2,7,1),1)+1+35&gt;=DATE($B$2,7,1),DATE($B$2,7,1)-WEEKDAY(DATE($B$2,7,1),1)+1+35&lt;=EOMONTH(DATE($B$2,7,1),0)),DAY(DATE($B$2,7,1)-WEEKDAY(DATE($B$2,7,1),1)+1+35),"")</f>
        <v/>
      </c>
      <c r="T21" s="4" t="str">
        <f>IF(AND(DATE($B$2,7,1)-WEEKDAY(DATE($B$2,7,1),1)+1+36&gt;=DATE($B$2,7,1),DATE($B$2,7,1)-WEEKDAY(DATE($B$2,7,1),1)+1+36&lt;=EOMONTH(DATE($B$2,7,1),0)),DAY(DATE($B$2,7,1)-WEEKDAY(DATE($B$2,7,1),1)+1+36),"")</f>
        <v/>
      </c>
      <c r="U21" s="4" t="str">
        <f>IF(AND(DATE($B$2,7,1)-WEEKDAY(DATE($B$2,7,1),1)+1+37&gt;=DATE($B$2,7,1),DATE($B$2,7,1)-WEEKDAY(DATE($B$2,7,1),1)+1+37&lt;=EOMONTH(DATE($B$2,7,1),0)),DAY(DATE($B$2,7,1)-WEEKDAY(DATE($B$2,7,1),1)+1+37),"")</f>
        <v/>
      </c>
      <c r="V21" s="4" t="str">
        <f>IF(AND(DATE($B$2,7,1)-WEEKDAY(DATE($B$2,7,1),1)+1+38&gt;=DATE($B$2,7,1),DATE($B$2,7,1)-WEEKDAY(DATE($B$2,7,1),1)+1+38&lt;=EOMONTH(DATE($B$2,7,1),0)),DAY(DATE($B$2,7,1)-WEEKDAY(DATE($B$2,7,1),1)+1+38),"")</f>
        <v/>
      </c>
      <c r="W21" s="4" t="str">
        <f>IF(AND(DATE($B$2,7,1)-WEEKDAY(DATE($B$2,7,1),1)+1+39&gt;=DATE($B$2,7,1),DATE($B$2,7,1)-WEEKDAY(DATE($B$2,7,1),1)+1+39&lt;=EOMONTH(DATE($B$2,7,1),0)),DAY(DATE($B$2,7,1)-WEEKDAY(DATE($B$2,7,1),1)+1+39),"")</f>
        <v/>
      </c>
      <c r="X21" s="4" t="str">
        <f>IF(AND(DATE($B$2,7,1)-WEEKDAY(DATE($B$2,7,1),1)+1+40&gt;=DATE($B$2,7,1),DATE($B$2,7,1)-WEEKDAY(DATE($B$2,7,1),1)+1+40&lt;=EOMONTH(DATE($B$2,7,1),0)),DAY(DATE($B$2,7,1)-WEEKDAY(DATE($B$2,7,1),1)+1+40),"")</f>
        <v/>
      </c>
      <c r="Y21" s="3" t="str">
        <f>IF(AND(DATE($B$2,7,1)-WEEKDAY(DATE($B$2,7,1),1)+1+41&gt;=DATE($B$2,7,1),DATE($B$2,7,1)-WEEKDAY(DATE($B$2,7,1),1)+1+41&lt;=EOMONTH(DATE($B$2,7,1),0)),DAY(DATE($B$2,7,1)-WEEKDAY(DATE($B$2,7,1),1)+1+41),"")</f>
        <v/>
      </c>
      <c r="AB21" s="3">
        <f>IF(AND(DATE($B$2,8,1)-WEEKDAY(DATE($B$2,8,1),1)+1+35&gt;=DATE($B$2,8,1),DATE($B$2,8,1)-WEEKDAY(DATE($B$2,8,1),1)+1+35&lt;=EOMONTH(DATE($B$2,8,1),0)),DAY(DATE($B$2,8,1)-WEEKDAY(DATE($B$2,8,1),1)+1+35),"")</f>
        <v>31</v>
      </c>
      <c r="AC21" s="4" t="str">
        <f>IF(AND(DATE($B$2,8,1)-WEEKDAY(DATE($B$2,8,1),1)+1+36&gt;=DATE($B$2,8,1),DATE($B$2,8,1)-WEEKDAY(DATE($B$2,8,1),1)+1+36&lt;=EOMONTH(DATE($B$2,8,1),0)),DAY(DATE($B$2,8,1)-WEEKDAY(DATE($B$2,8,1),1)+1+36),"")</f>
        <v/>
      </c>
      <c r="AD21" s="4" t="str">
        <f>IF(AND(DATE($B$2,8,1)-WEEKDAY(DATE($B$2,8,1),1)+1+37&gt;=DATE($B$2,8,1),DATE($B$2,8,1)-WEEKDAY(DATE($B$2,8,1),1)+1+37&lt;=EOMONTH(DATE($B$2,8,1),0)),DAY(DATE($B$2,8,1)-WEEKDAY(DATE($B$2,8,1),1)+1+37),"")</f>
        <v/>
      </c>
      <c r="AE21" s="4" t="str">
        <f>IF(AND(DATE($B$2,8,1)-WEEKDAY(DATE($B$2,8,1),1)+1+38&gt;=DATE($B$2,8,1),DATE($B$2,8,1)-WEEKDAY(DATE($B$2,8,1),1)+1+38&lt;=EOMONTH(DATE($B$2,8,1),0)),DAY(DATE($B$2,8,1)-WEEKDAY(DATE($B$2,8,1),1)+1+38),"")</f>
        <v/>
      </c>
      <c r="AF21" s="4" t="str">
        <f>IF(AND(DATE($B$2,8,1)-WEEKDAY(DATE($B$2,8,1),1)+1+39&gt;=DATE($B$2,8,1),DATE($B$2,8,1)-WEEKDAY(DATE($B$2,8,1),1)+1+39&lt;=EOMONTH(DATE($B$2,8,1),0)),DAY(DATE($B$2,8,1)-WEEKDAY(DATE($B$2,8,1),1)+1+39),"")</f>
        <v/>
      </c>
      <c r="AG21" s="4" t="str">
        <f>IF(AND(DATE($B$2,8,1)-WEEKDAY(DATE($B$2,8,1),1)+1+40&gt;=DATE($B$2,8,1),DATE($B$2,8,1)-WEEKDAY(DATE($B$2,8,1),1)+1+40&lt;=EOMONTH(DATE($B$2,8,1),0)),DAY(DATE($B$2,8,1)-WEEKDAY(DATE($B$2,8,1),1)+1+40),"")</f>
        <v/>
      </c>
      <c r="AH21" s="3" t="str">
        <f>IF(AND(DATE($B$2,8,1)-WEEKDAY(DATE($B$2,8,1),1)+1+41&gt;=DATE($B$2,8,1),DATE($B$2,8,1)-WEEKDAY(DATE($B$2,8,1),1)+1+41&lt;=EOMONTH(DATE($B$2,8,1),0)),DAY(DATE($B$2,8,1)-WEEKDAY(DATE($B$2,8,1),1)+1+41),"")</f>
        <v/>
      </c>
    </row>
    <row r="24" spans="1:34" ht="18" x14ac:dyDescent="0.35">
      <c r="A24" s="12" t="s">
        <v>15</v>
      </c>
      <c r="B24" s="13"/>
      <c r="C24" s="13"/>
      <c r="D24" s="13"/>
      <c r="E24" s="13"/>
      <c r="F24" s="13"/>
      <c r="G24" s="13"/>
      <c r="J24" s="12" t="s">
        <v>16</v>
      </c>
      <c r="K24" s="13"/>
      <c r="L24" s="13"/>
      <c r="M24" s="13"/>
      <c r="N24" s="13"/>
      <c r="O24" s="13"/>
      <c r="P24" s="13"/>
      <c r="S24" s="12" t="s">
        <v>4</v>
      </c>
      <c r="T24" s="13"/>
      <c r="U24" s="13"/>
      <c r="V24" s="13"/>
      <c r="W24" s="13"/>
      <c r="X24" s="13"/>
      <c r="Y24" s="13"/>
      <c r="AB24" s="12" t="s">
        <v>17</v>
      </c>
      <c r="AC24" s="13"/>
      <c r="AD24" s="13"/>
      <c r="AE24" s="13"/>
      <c r="AF24" s="13"/>
      <c r="AG24" s="13"/>
      <c r="AH24" s="13"/>
    </row>
    <row r="25" spans="1:34" x14ac:dyDescent="0.3">
      <c r="A25" s="2" t="s">
        <v>18</v>
      </c>
      <c r="B25" s="2" t="s">
        <v>19</v>
      </c>
      <c r="C25" s="2" t="s">
        <v>1</v>
      </c>
      <c r="D25" s="2" t="s">
        <v>2</v>
      </c>
      <c r="E25" s="2" t="s">
        <v>20</v>
      </c>
      <c r="F25" s="2" t="s">
        <v>3</v>
      </c>
      <c r="G25" s="2" t="s">
        <v>0</v>
      </c>
      <c r="J25" s="2" t="s">
        <v>18</v>
      </c>
      <c r="K25" s="2" t="s">
        <v>19</v>
      </c>
      <c r="L25" s="2" t="s">
        <v>1</v>
      </c>
      <c r="M25" s="2" t="s">
        <v>2</v>
      </c>
      <c r="N25" s="2" t="s">
        <v>20</v>
      </c>
      <c r="O25" s="2" t="s">
        <v>3</v>
      </c>
      <c r="P25" s="2" t="s">
        <v>0</v>
      </c>
      <c r="S25" s="2" t="s">
        <v>18</v>
      </c>
      <c r="T25" s="2" t="s">
        <v>19</v>
      </c>
      <c r="U25" s="2" t="s">
        <v>1</v>
      </c>
      <c r="V25" s="2" t="s">
        <v>2</v>
      </c>
      <c r="W25" s="2" t="s">
        <v>20</v>
      </c>
      <c r="X25" s="2" t="s">
        <v>3</v>
      </c>
      <c r="Y25" s="2" t="s">
        <v>0</v>
      </c>
      <c r="AB25" s="2" t="s">
        <v>18</v>
      </c>
      <c r="AC25" s="2" t="s">
        <v>19</v>
      </c>
      <c r="AD25" s="2" t="s">
        <v>1</v>
      </c>
      <c r="AE25" s="2" t="s">
        <v>2</v>
      </c>
      <c r="AF25" s="2" t="s">
        <v>20</v>
      </c>
      <c r="AG25" s="2" t="s">
        <v>3</v>
      </c>
      <c r="AH25" s="2" t="s">
        <v>0</v>
      </c>
    </row>
    <row r="26" spans="1:34" x14ac:dyDescent="0.3">
      <c r="A26" s="3" t="str">
        <f>IF(AND(DATE($B$2,9,1)-WEEKDAY(DATE($B$2,9,1),1)+1+0&gt;=DATE($B$2,9,1),DATE($B$2,9,1)-WEEKDAY(DATE($B$2,9,1),1)+1+0&lt;=EOMONTH(DATE($B$2,9,1),0)),DAY(DATE($B$2,9,1)-WEEKDAY(DATE($B$2,9,1),1)+1+0),"")</f>
        <v/>
      </c>
      <c r="B26" s="4">
        <f>IF(AND(DATE($B$2,9,1)-WEEKDAY(DATE($B$2,9,1),1)+1+1&gt;=DATE($B$2,9,1),DATE($B$2,9,1)-WEEKDAY(DATE($B$2,9,1),1)+1+1&lt;=EOMONTH(DATE($B$2,9,1),0)),DAY(DATE($B$2,9,1)-WEEKDAY(DATE($B$2,9,1),1)+1+1),"")</f>
        <v>1</v>
      </c>
      <c r="C26" s="4">
        <f>IF(AND(DATE($B$2,9,1)-WEEKDAY(DATE($B$2,9,1),1)+1+2&gt;=DATE($B$2,9,1),DATE($B$2,9,1)-WEEKDAY(DATE($B$2,9,1),1)+1+2&lt;=EOMONTH(DATE($B$2,9,1),0)),DAY(DATE($B$2,9,1)-WEEKDAY(DATE($B$2,9,1),1)+1+2),"")</f>
        <v>2</v>
      </c>
      <c r="D26" s="4">
        <f>IF(AND(DATE($B$2,9,1)-WEEKDAY(DATE($B$2,9,1),1)+1+3&gt;=DATE($B$2,9,1),DATE($B$2,9,1)-WEEKDAY(DATE($B$2,9,1),1)+1+3&lt;=EOMONTH(DATE($B$2,9,1),0)),DAY(DATE($B$2,9,1)-WEEKDAY(DATE($B$2,9,1),1)+1+3),"")</f>
        <v>3</v>
      </c>
      <c r="E26" s="4">
        <f>IF(AND(DATE($B$2,9,1)-WEEKDAY(DATE($B$2,9,1),1)+1+4&gt;=DATE($B$2,9,1),DATE($B$2,9,1)-WEEKDAY(DATE($B$2,9,1),1)+1+4&lt;=EOMONTH(DATE($B$2,9,1),0)),DAY(DATE($B$2,9,1)-WEEKDAY(DATE($B$2,9,1),1)+1+4),"")</f>
        <v>4</v>
      </c>
      <c r="F26" s="4">
        <f>IF(AND(DATE($B$2,9,1)-WEEKDAY(DATE($B$2,9,1),1)+1+5&gt;=DATE($B$2,9,1),DATE($B$2,9,1)-WEEKDAY(DATE($B$2,9,1),1)+1+5&lt;=EOMONTH(DATE($B$2,9,1),0)),DAY(DATE($B$2,9,1)-WEEKDAY(DATE($B$2,9,1),1)+1+5),"")</f>
        <v>5</v>
      </c>
      <c r="G26" s="3">
        <f>IF(AND(DATE($B$2,9,1)-WEEKDAY(DATE($B$2,9,1),1)+1+6&gt;=DATE($B$2,9,1),DATE($B$2,9,1)-WEEKDAY(DATE($B$2,9,1),1)+1+6&lt;=EOMONTH(DATE($B$2,9,1),0)),DAY(DATE($B$2,9,1)-WEEKDAY(DATE($B$2,9,1),1)+1+6),"")</f>
        <v>6</v>
      </c>
      <c r="J26" s="3" t="str">
        <f>IF(AND(DATE($B$2,10,1)-WEEKDAY(DATE($B$2,10,1),1)+1+0&gt;=DATE($B$2,10,1),DATE($B$2,10,1)-WEEKDAY(DATE($B$2,10,1),1)+1+0&lt;=EOMONTH(DATE($B$2,10,1),0)),DAY(DATE($B$2,10,1)-WEEKDAY(DATE($B$2,10,1),1)+1+0),"")</f>
        <v/>
      </c>
      <c r="K26" s="4" t="str">
        <f>IF(AND(DATE($B$2,10,1)-WEEKDAY(DATE($B$2,10,1),1)+1+1&gt;=DATE($B$2,10,1),DATE($B$2,10,1)-WEEKDAY(DATE($B$2,10,1),1)+1+1&lt;=EOMONTH(DATE($B$2,10,1),0)),DAY(DATE($B$2,10,1)-WEEKDAY(DATE($B$2,10,1),1)+1+1),"")</f>
        <v/>
      </c>
      <c r="L26" s="4" t="str">
        <f>IF(AND(DATE($B$2,10,1)-WEEKDAY(DATE($B$2,10,1),1)+1+2&gt;=DATE($B$2,10,1),DATE($B$2,10,1)-WEEKDAY(DATE($B$2,10,1),1)+1+2&lt;=EOMONTH(DATE($B$2,10,1),0)),DAY(DATE($B$2,10,1)-WEEKDAY(DATE($B$2,10,1),1)+1+2),"")</f>
        <v/>
      </c>
      <c r="M26" s="4">
        <f>IF(AND(DATE($B$2,10,1)-WEEKDAY(DATE($B$2,10,1),1)+1+3&gt;=DATE($B$2,10,1),DATE($B$2,10,1)-WEEKDAY(DATE($B$2,10,1),1)+1+3&lt;=EOMONTH(DATE($B$2,10,1),0)),DAY(DATE($B$2,10,1)-WEEKDAY(DATE($B$2,10,1),1)+1+3),"")</f>
        <v>1</v>
      </c>
      <c r="N26" s="4">
        <f>IF(AND(DATE($B$2,10,1)-WEEKDAY(DATE($B$2,10,1),1)+1+4&gt;=DATE($B$2,10,1),DATE($B$2,10,1)-WEEKDAY(DATE($B$2,10,1),1)+1+4&lt;=EOMONTH(DATE($B$2,10,1),0)),DAY(DATE($B$2,10,1)-WEEKDAY(DATE($B$2,10,1),1)+1+4),"")</f>
        <v>2</v>
      </c>
      <c r="O26" s="4">
        <f>IF(AND(DATE($B$2,10,1)-WEEKDAY(DATE($B$2,10,1),1)+1+5&gt;=DATE($B$2,10,1),DATE($B$2,10,1)-WEEKDAY(DATE($B$2,10,1),1)+1+5&lt;=EOMONTH(DATE($B$2,10,1),0)),DAY(DATE($B$2,10,1)-WEEKDAY(DATE($B$2,10,1),1)+1+5),"")</f>
        <v>3</v>
      </c>
      <c r="P26" s="3">
        <f>IF(AND(DATE($B$2,10,1)-WEEKDAY(DATE($B$2,10,1),1)+1+6&gt;=DATE($B$2,10,1),DATE($B$2,10,1)-WEEKDAY(DATE($B$2,10,1),1)+1+6&lt;=EOMONTH(DATE($B$2,10,1),0)),DAY(DATE($B$2,10,1)-WEEKDAY(DATE($B$2,10,1),1)+1+6),"")</f>
        <v>4</v>
      </c>
      <c r="S26" s="3" t="str">
        <f>IF(AND(DATE($B$2,11,1)-WEEKDAY(DATE($B$2,11,1),1)+1+0&gt;=DATE($B$2,11,1),DATE($B$2,11,1)-WEEKDAY(DATE($B$2,11,1),1)+1+0&lt;=EOMONTH(DATE($B$2,11,1),0)),DAY(DATE($B$2,11,1)-WEEKDAY(DATE($B$2,11,1),1)+1+0),"")</f>
        <v/>
      </c>
      <c r="T26" s="4" t="str">
        <f>IF(AND(DATE($B$2,11,1)-WEEKDAY(DATE($B$2,11,1),1)+1+1&gt;=DATE($B$2,11,1),DATE($B$2,11,1)-WEEKDAY(DATE($B$2,11,1),1)+1+1&lt;=EOMONTH(DATE($B$2,11,1),0)),DAY(DATE($B$2,11,1)-WEEKDAY(DATE($B$2,11,1),1)+1+1),"")</f>
        <v/>
      </c>
      <c r="U26" s="4" t="str">
        <f>IF(AND(DATE($B$2,11,1)-WEEKDAY(DATE($B$2,11,1),1)+1+2&gt;=DATE($B$2,11,1),DATE($B$2,11,1)-WEEKDAY(DATE($B$2,11,1),1)+1+2&lt;=EOMONTH(DATE($B$2,11,1),0)),DAY(DATE($B$2,11,1)-WEEKDAY(DATE($B$2,11,1),1)+1+2),"")</f>
        <v/>
      </c>
      <c r="V26" s="4" t="str">
        <f>IF(AND(DATE($B$2,11,1)-WEEKDAY(DATE($B$2,11,1),1)+1+3&gt;=DATE($B$2,11,1),DATE($B$2,11,1)-WEEKDAY(DATE($B$2,11,1),1)+1+3&lt;=EOMONTH(DATE($B$2,11,1),0)),DAY(DATE($B$2,11,1)-WEEKDAY(DATE($B$2,11,1),1)+1+3),"")</f>
        <v/>
      </c>
      <c r="W26" s="4" t="str">
        <f>IF(AND(DATE($B$2,11,1)-WEEKDAY(DATE($B$2,11,1),1)+1+4&gt;=DATE($B$2,11,1),DATE($B$2,11,1)-WEEKDAY(DATE($B$2,11,1),1)+1+4&lt;=EOMONTH(DATE($B$2,11,1),0)),DAY(DATE($B$2,11,1)-WEEKDAY(DATE($B$2,11,1),1)+1+4),"")</f>
        <v/>
      </c>
      <c r="X26" s="4" t="str">
        <f>IF(AND(DATE($B$2,11,1)-WEEKDAY(DATE($B$2,11,1),1)+1+5&gt;=DATE($B$2,11,1),DATE($B$2,11,1)-WEEKDAY(DATE($B$2,11,1),1)+1+5&lt;=EOMONTH(DATE($B$2,11,1),0)),DAY(DATE($B$2,11,1)-WEEKDAY(DATE($B$2,11,1),1)+1+5),"")</f>
        <v/>
      </c>
      <c r="Y26" s="3">
        <f>IF(AND(DATE($B$2,11,1)-WEEKDAY(DATE($B$2,11,1),1)+1+6&gt;=DATE($B$2,11,1),DATE($B$2,11,1)-WEEKDAY(DATE($B$2,11,1),1)+1+6&lt;=EOMONTH(DATE($B$2,11,1),0)),DAY(DATE($B$2,11,1)-WEEKDAY(DATE($B$2,11,1),1)+1+6),"")</f>
        <v>1</v>
      </c>
      <c r="AB26" s="3" t="str">
        <f>IF(AND(DATE($B$2,12,1)-WEEKDAY(DATE($B$2,12,1),1)+1+0&gt;=DATE($B$2,12,1),DATE($B$2,12,1)-WEEKDAY(DATE($B$2,12,1),1)+1+0&lt;=EOMONTH(DATE($B$2,12,1),0)),DAY(DATE($B$2,12,1)-WEEKDAY(DATE($B$2,12,1),1)+1+0),"")</f>
        <v/>
      </c>
      <c r="AC26" s="4">
        <f>IF(AND(DATE($B$2,12,1)-WEEKDAY(DATE($B$2,12,1),1)+1+1&gt;=DATE($B$2,12,1),DATE($B$2,12,1)-WEEKDAY(DATE($B$2,12,1),1)+1+1&lt;=EOMONTH(DATE($B$2,12,1),0)),DAY(DATE($B$2,12,1)-WEEKDAY(DATE($B$2,12,1),1)+1+1),"")</f>
        <v>1</v>
      </c>
      <c r="AD26" s="4">
        <f>IF(AND(DATE($B$2,12,1)-WEEKDAY(DATE($B$2,12,1),1)+1+2&gt;=DATE($B$2,12,1),DATE($B$2,12,1)-WEEKDAY(DATE($B$2,12,1),1)+1+2&lt;=EOMONTH(DATE($B$2,12,1),0)),DAY(DATE($B$2,12,1)-WEEKDAY(DATE($B$2,12,1),1)+1+2),"")</f>
        <v>2</v>
      </c>
      <c r="AE26" s="4">
        <f>IF(AND(DATE($B$2,12,1)-WEEKDAY(DATE($B$2,12,1),1)+1+3&gt;=DATE($B$2,12,1),DATE($B$2,12,1)-WEEKDAY(DATE($B$2,12,1),1)+1+3&lt;=EOMONTH(DATE($B$2,12,1),0)),DAY(DATE($B$2,12,1)-WEEKDAY(DATE($B$2,12,1),1)+1+3),"")</f>
        <v>3</v>
      </c>
      <c r="AF26" s="4">
        <f>IF(AND(DATE($B$2,12,1)-WEEKDAY(DATE($B$2,12,1),1)+1+4&gt;=DATE($B$2,12,1),DATE($B$2,12,1)-WEEKDAY(DATE($B$2,12,1),1)+1+4&lt;=EOMONTH(DATE($B$2,12,1),0)),DAY(DATE($B$2,12,1)-WEEKDAY(DATE($B$2,12,1),1)+1+4),"")</f>
        <v>4</v>
      </c>
      <c r="AG26" s="4">
        <f>IF(AND(DATE($B$2,12,1)-WEEKDAY(DATE($B$2,12,1),1)+1+5&gt;=DATE($B$2,12,1),DATE($B$2,12,1)-WEEKDAY(DATE($B$2,12,1),1)+1+5&lt;=EOMONTH(DATE($B$2,12,1),0)),DAY(DATE($B$2,12,1)-WEEKDAY(DATE($B$2,12,1),1)+1+5),"")</f>
        <v>5</v>
      </c>
      <c r="AH26" s="3">
        <f>IF(AND(DATE($B$2,12,1)-WEEKDAY(DATE($B$2,12,1),1)+1+6&gt;=DATE($B$2,12,1),DATE($B$2,12,1)-WEEKDAY(DATE($B$2,12,1),1)+1+6&lt;=EOMONTH(DATE($B$2,12,1),0)),DAY(DATE($B$2,12,1)-WEEKDAY(DATE($B$2,12,1),1)+1+6),"")</f>
        <v>6</v>
      </c>
    </row>
    <row r="27" spans="1:34" x14ac:dyDescent="0.3">
      <c r="A27" s="3">
        <f>IF(AND(DATE($B$2,9,1)-WEEKDAY(DATE($B$2,9,1),1)+1+7&gt;=DATE($B$2,9,1),DATE($B$2,9,1)-WEEKDAY(DATE($B$2,9,1),1)+1+7&lt;=EOMONTH(DATE($B$2,9,1),0)),DAY(DATE($B$2,9,1)-WEEKDAY(DATE($B$2,9,1),1)+1+7),"")</f>
        <v>7</v>
      </c>
      <c r="B27" s="4">
        <f>IF(AND(DATE($B$2,9,1)-WEEKDAY(DATE($B$2,9,1),1)+1+8&gt;=DATE($B$2,9,1),DATE($B$2,9,1)-WEEKDAY(DATE($B$2,9,1),1)+1+8&lt;=EOMONTH(DATE($B$2,9,1),0)),DAY(DATE($B$2,9,1)-WEEKDAY(DATE($B$2,9,1),1)+1+8),"")</f>
        <v>8</v>
      </c>
      <c r="C27" s="4">
        <f>IF(AND(DATE($B$2,9,1)-WEEKDAY(DATE($B$2,9,1),1)+1+9&gt;=DATE($B$2,9,1),DATE($B$2,9,1)-WEEKDAY(DATE($B$2,9,1),1)+1+9&lt;=EOMONTH(DATE($B$2,9,1),0)),DAY(DATE($B$2,9,1)-WEEKDAY(DATE($B$2,9,1),1)+1+9),"")</f>
        <v>9</v>
      </c>
      <c r="D27" s="4">
        <f>IF(AND(DATE($B$2,9,1)-WEEKDAY(DATE($B$2,9,1),1)+1+10&gt;=DATE($B$2,9,1),DATE($B$2,9,1)-WEEKDAY(DATE($B$2,9,1),1)+1+10&lt;=EOMONTH(DATE($B$2,9,1),0)),DAY(DATE($B$2,9,1)-WEEKDAY(DATE($B$2,9,1),1)+1+10),"")</f>
        <v>10</v>
      </c>
      <c r="E27" s="4">
        <f>IF(AND(DATE($B$2,9,1)-WEEKDAY(DATE($B$2,9,1),1)+1+11&gt;=DATE($B$2,9,1),DATE($B$2,9,1)-WEEKDAY(DATE($B$2,9,1),1)+1+11&lt;=EOMONTH(DATE($B$2,9,1),0)),DAY(DATE($B$2,9,1)-WEEKDAY(DATE($B$2,9,1),1)+1+11),"")</f>
        <v>11</v>
      </c>
      <c r="F27" s="4">
        <f>IF(AND(DATE($B$2,9,1)-WEEKDAY(DATE($B$2,9,1),1)+1+12&gt;=DATE($B$2,9,1),DATE($B$2,9,1)-WEEKDAY(DATE($B$2,9,1),1)+1+12&lt;=EOMONTH(DATE($B$2,9,1),0)),DAY(DATE($B$2,9,1)-WEEKDAY(DATE($B$2,9,1),1)+1+12),"")</f>
        <v>12</v>
      </c>
      <c r="G27" s="3">
        <f>IF(AND(DATE($B$2,9,1)-WEEKDAY(DATE($B$2,9,1),1)+1+13&gt;=DATE($B$2,9,1),DATE($B$2,9,1)-WEEKDAY(DATE($B$2,9,1),1)+1+13&lt;=EOMONTH(DATE($B$2,9,1),0)),DAY(DATE($B$2,9,1)-WEEKDAY(DATE($B$2,9,1),1)+1+13),"")</f>
        <v>13</v>
      </c>
      <c r="J27" s="3">
        <f>IF(AND(DATE($B$2,10,1)-WEEKDAY(DATE($B$2,10,1),1)+1+7&gt;=DATE($B$2,10,1),DATE($B$2,10,1)-WEEKDAY(DATE($B$2,10,1),1)+1+7&lt;=EOMONTH(DATE($B$2,10,1),0)),DAY(DATE($B$2,10,1)-WEEKDAY(DATE($B$2,10,1),1)+1+7),"")</f>
        <v>5</v>
      </c>
      <c r="K27" s="4">
        <f>IF(AND(DATE($B$2,10,1)-WEEKDAY(DATE($B$2,10,1),1)+1+8&gt;=DATE($B$2,10,1),DATE($B$2,10,1)-WEEKDAY(DATE($B$2,10,1),1)+1+8&lt;=EOMONTH(DATE($B$2,10,1),0)),DAY(DATE($B$2,10,1)-WEEKDAY(DATE($B$2,10,1),1)+1+8),"")</f>
        <v>6</v>
      </c>
      <c r="L27" s="4">
        <f>IF(AND(DATE($B$2,10,1)-WEEKDAY(DATE($B$2,10,1),1)+1+9&gt;=DATE($B$2,10,1),DATE($B$2,10,1)-WEEKDAY(DATE($B$2,10,1),1)+1+9&lt;=EOMONTH(DATE($B$2,10,1),0)),DAY(DATE($B$2,10,1)-WEEKDAY(DATE($B$2,10,1),1)+1+9),"")</f>
        <v>7</v>
      </c>
      <c r="M27" s="4">
        <f>IF(AND(DATE($B$2,10,1)-WEEKDAY(DATE($B$2,10,1),1)+1+10&gt;=DATE($B$2,10,1),DATE($B$2,10,1)-WEEKDAY(DATE($B$2,10,1),1)+1+10&lt;=EOMONTH(DATE($B$2,10,1),0)),DAY(DATE($B$2,10,1)-WEEKDAY(DATE($B$2,10,1),1)+1+10),"")</f>
        <v>8</v>
      </c>
      <c r="N27" s="4">
        <f>IF(AND(DATE($B$2,10,1)-WEEKDAY(DATE($B$2,10,1),1)+1+11&gt;=DATE($B$2,10,1),DATE($B$2,10,1)-WEEKDAY(DATE($B$2,10,1),1)+1+11&lt;=EOMONTH(DATE($B$2,10,1),0)),DAY(DATE($B$2,10,1)-WEEKDAY(DATE($B$2,10,1),1)+1+11),"")</f>
        <v>9</v>
      </c>
      <c r="O27" s="4">
        <f>IF(AND(DATE($B$2,10,1)-WEEKDAY(DATE($B$2,10,1),1)+1+12&gt;=DATE($B$2,10,1),DATE($B$2,10,1)-WEEKDAY(DATE($B$2,10,1),1)+1+12&lt;=EOMONTH(DATE($B$2,10,1),0)),DAY(DATE($B$2,10,1)-WEEKDAY(DATE($B$2,10,1),1)+1+12),"")</f>
        <v>10</v>
      </c>
      <c r="P27" s="3">
        <f>IF(AND(DATE($B$2,10,1)-WEEKDAY(DATE($B$2,10,1),1)+1+13&gt;=DATE($B$2,10,1),DATE($B$2,10,1)-WEEKDAY(DATE($B$2,10,1),1)+1+13&lt;=EOMONTH(DATE($B$2,10,1),0)),DAY(DATE($B$2,10,1)-WEEKDAY(DATE($B$2,10,1),1)+1+13),"")</f>
        <v>11</v>
      </c>
      <c r="S27" s="3">
        <f>IF(AND(DATE($B$2,11,1)-WEEKDAY(DATE($B$2,11,1),1)+1+7&gt;=DATE($B$2,11,1),DATE($B$2,11,1)-WEEKDAY(DATE($B$2,11,1),1)+1+7&lt;=EOMONTH(DATE($B$2,11,1),0)),DAY(DATE($B$2,11,1)-WEEKDAY(DATE($B$2,11,1),1)+1+7),"")</f>
        <v>2</v>
      </c>
      <c r="T27" s="4">
        <f>IF(AND(DATE($B$2,11,1)-WEEKDAY(DATE($B$2,11,1),1)+1+8&gt;=DATE($B$2,11,1),DATE($B$2,11,1)-WEEKDAY(DATE($B$2,11,1),1)+1+8&lt;=EOMONTH(DATE($B$2,11,1),0)),DAY(DATE($B$2,11,1)-WEEKDAY(DATE($B$2,11,1),1)+1+8),"")</f>
        <v>3</v>
      </c>
      <c r="U27" s="4">
        <f>IF(AND(DATE($B$2,11,1)-WEEKDAY(DATE($B$2,11,1),1)+1+9&gt;=DATE($B$2,11,1),DATE($B$2,11,1)-WEEKDAY(DATE($B$2,11,1),1)+1+9&lt;=EOMONTH(DATE($B$2,11,1),0)),DAY(DATE($B$2,11,1)-WEEKDAY(DATE($B$2,11,1),1)+1+9),"")</f>
        <v>4</v>
      </c>
      <c r="V27" s="4">
        <f>IF(AND(DATE($B$2,11,1)-WEEKDAY(DATE($B$2,11,1),1)+1+10&gt;=DATE($B$2,11,1),DATE($B$2,11,1)-WEEKDAY(DATE($B$2,11,1),1)+1+10&lt;=EOMONTH(DATE($B$2,11,1),0)),DAY(DATE($B$2,11,1)-WEEKDAY(DATE($B$2,11,1),1)+1+10),"")</f>
        <v>5</v>
      </c>
      <c r="W27" s="4">
        <f>IF(AND(DATE($B$2,11,1)-WEEKDAY(DATE($B$2,11,1),1)+1+11&gt;=DATE($B$2,11,1),DATE($B$2,11,1)-WEEKDAY(DATE($B$2,11,1),1)+1+11&lt;=EOMONTH(DATE($B$2,11,1),0)),DAY(DATE($B$2,11,1)-WEEKDAY(DATE($B$2,11,1),1)+1+11),"")</f>
        <v>6</v>
      </c>
      <c r="X27" s="4">
        <f>IF(AND(DATE($B$2,11,1)-WEEKDAY(DATE($B$2,11,1),1)+1+12&gt;=DATE($B$2,11,1),DATE($B$2,11,1)-WEEKDAY(DATE($B$2,11,1),1)+1+12&lt;=EOMONTH(DATE($B$2,11,1),0)),DAY(DATE($B$2,11,1)-WEEKDAY(DATE($B$2,11,1),1)+1+12),"")</f>
        <v>7</v>
      </c>
      <c r="Y27" s="3">
        <f>IF(AND(DATE($B$2,11,1)-WEEKDAY(DATE($B$2,11,1),1)+1+13&gt;=DATE($B$2,11,1),DATE($B$2,11,1)-WEEKDAY(DATE($B$2,11,1),1)+1+13&lt;=EOMONTH(DATE($B$2,11,1),0)),DAY(DATE($B$2,11,1)-WEEKDAY(DATE($B$2,11,1),1)+1+13),"")</f>
        <v>8</v>
      </c>
      <c r="AB27" s="3">
        <f>IF(AND(DATE($B$2,12,1)-WEEKDAY(DATE($B$2,12,1),1)+1+7&gt;=DATE($B$2,12,1),DATE($B$2,12,1)-WEEKDAY(DATE($B$2,12,1),1)+1+7&lt;=EOMONTH(DATE($B$2,12,1),0)),DAY(DATE($B$2,12,1)-WEEKDAY(DATE($B$2,12,1),1)+1+7),"")</f>
        <v>7</v>
      </c>
      <c r="AC27" s="4">
        <f>IF(AND(DATE($B$2,12,1)-WEEKDAY(DATE($B$2,12,1),1)+1+8&gt;=DATE($B$2,12,1),DATE($B$2,12,1)-WEEKDAY(DATE($B$2,12,1),1)+1+8&lt;=EOMONTH(DATE($B$2,12,1),0)),DAY(DATE($B$2,12,1)-WEEKDAY(DATE($B$2,12,1),1)+1+8),"")</f>
        <v>8</v>
      </c>
      <c r="AD27" s="4">
        <f>IF(AND(DATE($B$2,12,1)-WEEKDAY(DATE($B$2,12,1),1)+1+9&gt;=DATE($B$2,12,1),DATE($B$2,12,1)-WEEKDAY(DATE($B$2,12,1),1)+1+9&lt;=EOMONTH(DATE($B$2,12,1),0)),DAY(DATE($B$2,12,1)-WEEKDAY(DATE($B$2,12,1),1)+1+9),"")</f>
        <v>9</v>
      </c>
      <c r="AE27" s="4">
        <f>IF(AND(DATE($B$2,12,1)-WEEKDAY(DATE($B$2,12,1),1)+1+10&gt;=DATE($B$2,12,1),DATE($B$2,12,1)-WEEKDAY(DATE($B$2,12,1),1)+1+10&lt;=EOMONTH(DATE($B$2,12,1),0)),DAY(DATE($B$2,12,1)-WEEKDAY(DATE($B$2,12,1),1)+1+10),"")</f>
        <v>10</v>
      </c>
      <c r="AF27" s="4">
        <f>IF(AND(DATE($B$2,12,1)-WEEKDAY(DATE($B$2,12,1),1)+1+11&gt;=DATE($B$2,12,1),DATE($B$2,12,1)-WEEKDAY(DATE($B$2,12,1),1)+1+11&lt;=EOMONTH(DATE($B$2,12,1),0)),DAY(DATE($B$2,12,1)-WEEKDAY(DATE($B$2,12,1),1)+1+11),"")</f>
        <v>11</v>
      </c>
      <c r="AG27" s="4">
        <f>IF(AND(DATE($B$2,12,1)-WEEKDAY(DATE($B$2,12,1),1)+1+12&gt;=DATE($B$2,12,1),DATE($B$2,12,1)-WEEKDAY(DATE($B$2,12,1),1)+1+12&lt;=EOMONTH(DATE($B$2,12,1),0)),DAY(DATE($B$2,12,1)-WEEKDAY(DATE($B$2,12,1),1)+1+12),"")</f>
        <v>12</v>
      </c>
      <c r="AH27" s="3">
        <f>IF(AND(DATE($B$2,12,1)-WEEKDAY(DATE($B$2,12,1),1)+1+13&gt;=DATE($B$2,12,1),DATE($B$2,12,1)-WEEKDAY(DATE($B$2,12,1),1)+1+13&lt;=EOMONTH(DATE($B$2,12,1),0)),DAY(DATE($B$2,12,1)-WEEKDAY(DATE($B$2,12,1),1)+1+13),"")</f>
        <v>13</v>
      </c>
    </row>
    <row r="28" spans="1:34" x14ac:dyDescent="0.3">
      <c r="A28" s="3">
        <f>IF(AND(DATE($B$2,9,1)-WEEKDAY(DATE($B$2,9,1),1)+1+14&gt;=DATE($B$2,9,1),DATE($B$2,9,1)-WEEKDAY(DATE($B$2,9,1),1)+1+14&lt;=EOMONTH(DATE($B$2,9,1),0)),DAY(DATE($B$2,9,1)-WEEKDAY(DATE($B$2,9,1),1)+1+14),"")</f>
        <v>14</v>
      </c>
      <c r="B28" s="4">
        <f>IF(AND(DATE($B$2,9,1)-WEEKDAY(DATE($B$2,9,1),1)+1+15&gt;=DATE($B$2,9,1),DATE($B$2,9,1)-WEEKDAY(DATE($B$2,9,1),1)+1+15&lt;=EOMONTH(DATE($B$2,9,1),0)),DAY(DATE($B$2,9,1)-WEEKDAY(DATE($B$2,9,1),1)+1+15),"")</f>
        <v>15</v>
      </c>
      <c r="C28" s="4">
        <f>IF(AND(DATE($B$2,9,1)-WEEKDAY(DATE($B$2,9,1),1)+1+16&gt;=DATE($B$2,9,1),DATE($B$2,9,1)-WEEKDAY(DATE($B$2,9,1),1)+1+16&lt;=EOMONTH(DATE($B$2,9,1),0)),DAY(DATE($B$2,9,1)-WEEKDAY(DATE($B$2,9,1),1)+1+16),"")</f>
        <v>16</v>
      </c>
      <c r="D28" s="4">
        <f>IF(AND(DATE($B$2,9,1)-WEEKDAY(DATE($B$2,9,1),1)+1+17&gt;=DATE($B$2,9,1),DATE($B$2,9,1)-WEEKDAY(DATE($B$2,9,1),1)+1+17&lt;=EOMONTH(DATE($B$2,9,1),0)),DAY(DATE($B$2,9,1)-WEEKDAY(DATE($B$2,9,1),1)+1+17),"")</f>
        <v>17</v>
      </c>
      <c r="E28" s="4">
        <f>IF(AND(DATE($B$2,9,1)-WEEKDAY(DATE($B$2,9,1),1)+1+18&gt;=DATE($B$2,9,1),DATE($B$2,9,1)-WEEKDAY(DATE($B$2,9,1),1)+1+18&lt;=EOMONTH(DATE($B$2,9,1),0)),DAY(DATE($B$2,9,1)-WEEKDAY(DATE($B$2,9,1),1)+1+18),"")</f>
        <v>18</v>
      </c>
      <c r="F28" s="4">
        <f>IF(AND(DATE($B$2,9,1)-WEEKDAY(DATE($B$2,9,1),1)+1+19&gt;=DATE($B$2,9,1),DATE($B$2,9,1)-WEEKDAY(DATE($B$2,9,1),1)+1+19&lt;=EOMONTH(DATE($B$2,9,1),0)),DAY(DATE($B$2,9,1)-WEEKDAY(DATE($B$2,9,1),1)+1+19),"")</f>
        <v>19</v>
      </c>
      <c r="G28" s="3">
        <f>IF(AND(DATE($B$2,9,1)-WEEKDAY(DATE($B$2,9,1),1)+1+20&gt;=DATE($B$2,9,1),DATE($B$2,9,1)-WEEKDAY(DATE($B$2,9,1),1)+1+20&lt;=EOMONTH(DATE($B$2,9,1),0)),DAY(DATE($B$2,9,1)-WEEKDAY(DATE($B$2,9,1),1)+1+20),"")</f>
        <v>20</v>
      </c>
      <c r="J28" s="3">
        <f>IF(AND(DATE($B$2,10,1)-WEEKDAY(DATE($B$2,10,1),1)+1+14&gt;=DATE($B$2,10,1),DATE($B$2,10,1)-WEEKDAY(DATE($B$2,10,1),1)+1+14&lt;=EOMONTH(DATE($B$2,10,1),0)),DAY(DATE($B$2,10,1)-WEEKDAY(DATE($B$2,10,1),1)+1+14),"")</f>
        <v>12</v>
      </c>
      <c r="K28" s="4">
        <f>IF(AND(DATE($B$2,10,1)-WEEKDAY(DATE($B$2,10,1),1)+1+15&gt;=DATE($B$2,10,1),DATE($B$2,10,1)-WEEKDAY(DATE($B$2,10,1),1)+1+15&lt;=EOMONTH(DATE($B$2,10,1),0)),DAY(DATE($B$2,10,1)-WEEKDAY(DATE($B$2,10,1),1)+1+15),"")</f>
        <v>13</v>
      </c>
      <c r="L28" s="4">
        <f>IF(AND(DATE($B$2,10,1)-WEEKDAY(DATE($B$2,10,1),1)+1+16&gt;=DATE($B$2,10,1),DATE($B$2,10,1)-WEEKDAY(DATE($B$2,10,1),1)+1+16&lt;=EOMONTH(DATE($B$2,10,1),0)),DAY(DATE($B$2,10,1)-WEEKDAY(DATE($B$2,10,1),1)+1+16),"")</f>
        <v>14</v>
      </c>
      <c r="M28" s="4">
        <f>IF(AND(DATE($B$2,10,1)-WEEKDAY(DATE($B$2,10,1),1)+1+17&gt;=DATE($B$2,10,1),DATE($B$2,10,1)-WEEKDAY(DATE($B$2,10,1),1)+1+17&lt;=EOMONTH(DATE($B$2,10,1),0)),DAY(DATE($B$2,10,1)-WEEKDAY(DATE($B$2,10,1),1)+1+17),"")</f>
        <v>15</v>
      </c>
      <c r="N28" s="4">
        <f>IF(AND(DATE($B$2,10,1)-WEEKDAY(DATE($B$2,10,1),1)+1+18&gt;=DATE($B$2,10,1),DATE($B$2,10,1)-WEEKDAY(DATE($B$2,10,1),1)+1+18&lt;=EOMONTH(DATE($B$2,10,1),0)),DAY(DATE($B$2,10,1)-WEEKDAY(DATE($B$2,10,1),1)+1+18),"")</f>
        <v>16</v>
      </c>
      <c r="O28" s="4">
        <f>IF(AND(DATE($B$2,10,1)-WEEKDAY(DATE($B$2,10,1),1)+1+19&gt;=DATE($B$2,10,1),DATE($B$2,10,1)-WEEKDAY(DATE($B$2,10,1),1)+1+19&lt;=EOMONTH(DATE($B$2,10,1),0)),DAY(DATE($B$2,10,1)-WEEKDAY(DATE($B$2,10,1),1)+1+19),"")</f>
        <v>17</v>
      </c>
      <c r="P28" s="3">
        <f>IF(AND(DATE($B$2,10,1)-WEEKDAY(DATE($B$2,10,1),1)+1+20&gt;=DATE($B$2,10,1),DATE($B$2,10,1)-WEEKDAY(DATE($B$2,10,1),1)+1+20&lt;=EOMONTH(DATE($B$2,10,1),0)),DAY(DATE($B$2,10,1)-WEEKDAY(DATE($B$2,10,1),1)+1+20),"")</f>
        <v>18</v>
      </c>
      <c r="S28" s="3">
        <f>IF(AND(DATE($B$2,11,1)-WEEKDAY(DATE($B$2,11,1),1)+1+14&gt;=DATE($B$2,11,1),DATE($B$2,11,1)-WEEKDAY(DATE($B$2,11,1),1)+1+14&lt;=EOMONTH(DATE($B$2,11,1),0)),DAY(DATE($B$2,11,1)-WEEKDAY(DATE($B$2,11,1),1)+1+14),"")</f>
        <v>9</v>
      </c>
      <c r="T28" s="4">
        <f>IF(AND(DATE($B$2,11,1)-WEEKDAY(DATE($B$2,11,1),1)+1+15&gt;=DATE($B$2,11,1),DATE($B$2,11,1)-WEEKDAY(DATE($B$2,11,1),1)+1+15&lt;=EOMONTH(DATE($B$2,11,1),0)),DAY(DATE($B$2,11,1)-WEEKDAY(DATE($B$2,11,1),1)+1+15),"")</f>
        <v>10</v>
      </c>
      <c r="U28" s="4">
        <f>IF(AND(DATE($B$2,11,1)-WEEKDAY(DATE($B$2,11,1),1)+1+16&gt;=DATE($B$2,11,1),DATE($B$2,11,1)-WEEKDAY(DATE($B$2,11,1),1)+1+16&lt;=EOMONTH(DATE($B$2,11,1),0)),DAY(DATE($B$2,11,1)-WEEKDAY(DATE($B$2,11,1),1)+1+16),"")</f>
        <v>11</v>
      </c>
      <c r="V28" s="4">
        <f>IF(AND(DATE($B$2,11,1)-WEEKDAY(DATE($B$2,11,1),1)+1+17&gt;=DATE($B$2,11,1),DATE($B$2,11,1)-WEEKDAY(DATE($B$2,11,1),1)+1+17&lt;=EOMONTH(DATE($B$2,11,1),0)),DAY(DATE($B$2,11,1)-WEEKDAY(DATE($B$2,11,1),1)+1+17),"")</f>
        <v>12</v>
      </c>
      <c r="W28" s="4">
        <f>IF(AND(DATE($B$2,11,1)-WEEKDAY(DATE($B$2,11,1),1)+1+18&gt;=DATE($B$2,11,1),DATE($B$2,11,1)-WEEKDAY(DATE($B$2,11,1),1)+1+18&lt;=EOMONTH(DATE($B$2,11,1),0)),DAY(DATE($B$2,11,1)-WEEKDAY(DATE($B$2,11,1),1)+1+18),"")</f>
        <v>13</v>
      </c>
      <c r="X28" s="4">
        <f>IF(AND(DATE($B$2,11,1)-WEEKDAY(DATE($B$2,11,1),1)+1+19&gt;=DATE($B$2,11,1),DATE($B$2,11,1)-WEEKDAY(DATE($B$2,11,1),1)+1+19&lt;=EOMONTH(DATE($B$2,11,1),0)),DAY(DATE($B$2,11,1)-WEEKDAY(DATE($B$2,11,1),1)+1+19),"")</f>
        <v>14</v>
      </c>
      <c r="Y28" s="3">
        <f>IF(AND(DATE($B$2,11,1)-WEEKDAY(DATE($B$2,11,1),1)+1+20&gt;=DATE($B$2,11,1),DATE($B$2,11,1)-WEEKDAY(DATE($B$2,11,1),1)+1+20&lt;=EOMONTH(DATE($B$2,11,1),0)),DAY(DATE($B$2,11,1)-WEEKDAY(DATE($B$2,11,1),1)+1+20),"")</f>
        <v>15</v>
      </c>
      <c r="AB28" s="3">
        <f>IF(AND(DATE($B$2,12,1)-WEEKDAY(DATE($B$2,12,1),1)+1+14&gt;=DATE($B$2,12,1),DATE($B$2,12,1)-WEEKDAY(DATE($B$2,12,1),1)+1+14&lt;=EOMONTH(DATE($B$2,12,1),0)),DAY(DATE($B$2,12,1)-WEEKDAY(DATE($B$2,12,1),1)+1+14),"")</f>
        <v>14</v>
      </c>
      <c r="AC28" s="4">
        <f>IF(AND(DATE($B$2,12,1)-WEEKDAY(DATE($B$2,12,1),1)+1+15&gt;=DATE($B$2,12,1),DATE($B$2,12,1)-WEEKDAY(DATE($B$2,12,1),1)+1+15&lt;=EOMONTH(DATE($B$2,12,1),0)),DAY(DATE($B$2,12,1)-WEEKDAY(DATE($B$2,12,1),1)+1+15),"")</f>
        <v>15</v>
      </c>
      <c r="AD28" s="4">
        <f>IF(AND(DATE($B$2,12,1)-WEEKDAY(DATE($B$2,12,1),1)+1+16&gt;=DATE($B$2,12,1),DATE($B$2,12,1)-WEEKDAY(DATE($B$2,12,1),1)+1+16&lt;=EOMONTH(DATE($B$2,12,1),0)),DAY(DATE($B$2,12,1)-WEEKDAY(DATE($B$2,12,1),1)+1+16),"")</f>
        <v>16</v>
      </c>
      <c r="AE28" s="4">
        <f>IF(AND(DATE($B$2,12,1)-WEEKDAY(DATE($B$2,12,1),1)+1+17&gt;=DATE($B$2,12,1),DATE($B$2,12,1)-WEEKDAY(DATE($B$2,12,1),1)+1+17&lt;=EOMONTH(DATE($B$2,12,1),0)),DAY(DATE($B$2,12,1)-WEEKDAY(DATE($B$2,12,1),1)+1+17),"")</f>
        <v>17</v>
      </c>
      <c r="AF28" s="4">
        <f>IF(AND(DATE($B$2,12,1)-WEEKDAY(DATE($B$2,12,1),1)+1+18&gt;=DATE($B$2,12,1),DATE($B$2,12,1)-WEEKDAY(DATE($B$2,12,1),1)+1+18&lt;=EOMONTH(DATE($B$2,12,1),0)),DAY(DATE($B$2,12,1)-WEEKDAY(DATE($B$2,12,1),1)+1+18),"")</f>
        <v>18</v>
      </c>
      <c r="AG28" s="4">
        <f>IF(AND(DATE($B$2,12,1)-WEEKDAY(DATE($B$2,12,1),1)+1+19&gt;=DATE($B$2,12,1),DATE($B$2,12,1)-WEEKDAY(DATE($B$2,12,1),1)+1+19&lt;=EOMONTH(DATE($B$2,12,1),0)),DAY(DATE($B$2,12,1)-WEEKDAY(DATE($B$2,12,1),1)+1+19),"")</f>
        <v>19</v>
      </c>
      <c r="AH28" s="3">
        <f>IF(AND(DATE($B$2,12,1)-WEEKDAY(DATE($B$2,12,1),1)+1+20&gt;=DATE($B$2,12,1),DATE($B$2,12,1)-WEEKDAY(DATE($B$2,12,1),1)+1+20&lt;=EOMONTH(DATE($B$2,12,1),0)),DAY(DATE($B$2,12,1)-WEEKDAY(DATE($B$2,12,1),1)+1+20),"")</f>
        <v>20</v>
      </c>
    </row>
    <row r="29" spans="1:34" x14ac:dyDescent="0.3">
      <c r="A29" s="3">
        <f>IF(AND(DATE($B$2,9,1)-WEEKDAY(DATE($B$2,9,1),1)+1+21&gt;=DATE($B$2,9,1),DATE($B$2,9,1)-WEEKDAY(DATE($B$2,9,1),1)+1+21&lt;=EOMONTH(DATE($B$2,9,1),0)),DAY(DATE($B$2,9,1)-WEEKDAY(DATE($B$2,9,1),1)+1+21),"")</f>
        <v>21</v>
      </c>
      <c r="B29" s="4">
        <f>IF(AND(DATE($B$2,9,1)-WEEKDAY(DATE($B$2,9,1),1)+1+22&gt;=DATE($B$2,9,1),DATE($B$2,9,1)-WEEKDAY(DATE($B$2,9,1),1)+1+22&lt;=EOMONTH(DATE($B$2,9,1),0)),DAY(DATE($B$2,9,1)-WEEKDAY(DATE($B$2,9,1),1)+1+22),"")</f>
        <v>22</v>
      </c>
      <c r="C29" s="4">
        <f>IF(AND(DATE($B$2,9,1)-WEEKDAY(DATE($B$2,9,1),1)+1+23&gt;=DATE($B$2,9,1),DATE($B$2,9,1)-WEEKDAY(DATE($B$2,9,1),1)+1+23&lt;=EOMONTH(DATE($B$2,9,1),0)),DAY(DATE($B$2,9,1)-WEEKDAY(DATE($B$2,9,1),1)+1+23),"")</f>
        <v>23</v>
      </c>
      <c r="D29" s="4">
        <f>IF(AND(DATE($B$2,9,1)-WEEKDAY(DATE($B$2,9,1),1)+1+24&gt;=DATE($B$2,9,1),DATE($B$2,9,1)-WEEKDAY(DATE($B$2,9,1),1)+1+24&lt;=EOMONTH(DATE($B$2,9,1),0)),DAY(DATE($B$2,9,1)-WEEKDAY(DATE($B$2,9,1),1)+1+24),"")</f>
        <v>24</v>
      </c>
      <c r="E29" s="4">
        <f>IF(AND(DATE($B$2,9,1)-WEEKDAY(DATE($B$2,9,1),1)+1+25&gt;=DATE($B$2,9,1),DATE($B$2,9,1)-WEEKDAY(DATE($B$2,9,1),1)+1+25&lt;=EOMONTH(DATE($B$2,9,1),0)),DAY(DATE($B$2,9,1)-WEEKDAY(DATE($B$2,9,1),1)+1+25),"")</f>
        <v>25</v>
      </c>
      <c r="F29" s="4">
        <f>IF(AND(DATE($B$2,9,1)-WEEKDAY(DATE($B$2,9,1),1)+1+26&gt;=DATE($B$2,9,1),DATE($B$2,9,1)-WEEKDAY(DATE($B$2,9,1),1)+1+26&lt;=EOMONTH(DATE($B$2,9,1),0)),DAY(DATE($B$2,9,1)-WEEKDAY(DATE($B$2,9,1),1)+1+26),"")</f>
        <v>26</v>
      </c>
      <c r="G29" s="3">
        <f>IF(AND(DATE($B$2,9,1)-WEEKDAY(DATE($B$2,9,1),1)+1+27&gt;=DATE($B$2,9,1),DATE($B$2,9,1)-WEEKDAY(DATE($B$2,9,1),1)+1+27&lt;=EOMONTH(DATE($B$2,9,1),0)),DAY(DATE($B$2,9,1)-WEEKDAY(DATE($B$2,9,1),1)+1+27),"")</f>
        <v>27</v>
      </c>
      <c r="J29" s="3">
        <f>IF(AND(DATE($B$2,10,1)-WEEKDAY(DATE($B$2,10,1),1)+1+21&gt;=DATE($B$2,10,1),DATE($B$2,10,1)-WEEKDAY(DATE($B$2,10,1),1)+1+21&lt;=EOMONTH(DATE($B$2,10,1),0)),DAY(DATE($B$2,10,1)-WEEKDAY(DATE($B$2,10,1),1)+1+21),"")</f>
        <v>19</v>
      </c>
      <c r="K29" s="4">
        <f>IF(AND(DATE($B$2,10,1)-WEEKDAY(DATE($B$2,10,1),1)+1+22&gt;=DATE($B$2,10,1),DATE($B$2,10,1)-WEEKDAY(DATE($B$2,10,1),1)+1+22&lt;=EOMONTH(DATE($B$2,10,1),0)),DAY(DATE($B$2,10,1)-WEEKDAY(DATE($B$2,10,1),1)+1+22),"")</f>
        <v>20</v>
      </c>
      <c r="L29" s="4">
        <f>IF(AND(DATE($B$2,10,1)-WEEKDAY(DATE($B$2,10,1),1)+1+23&gt;=DATE($B$2,10,1),DATE($B$2,10,1)-WEEKDAY(DATE($B$2,10,1),1)+1+23&lt;=EOMONTH(DATE($B$2,10,1),0)),DAY(DATE($B$2,10,1)-WEEKDAY(DATE($B$2,10,1),1)+1+23),"")</f>
        <v>21</v>
      </c>
      <c r="M29" s="4">
        <f>IF(AND(DATE($B$2,10,1)-WEEKDAY(DATE($B$2,10,1),1)+1+24&gt;=DATE($B$2,10,1),DATE($B$2,10,1)-WEEKDAY(DATE($B$2,10,1),1)+1+24&lt;=EOMONTH(DATE($B$2,10,1),0)),DAY(DATE($B$2,10,1)-WEEKDAY(DATE($B$2,10,1),1)+1+24),"")</f>
        <v>22</v>
      </c>
      <c r="N29" s="4">
        <f>IF(AND(DATE($B$2,10,1)-WEEKDAY(DATE($B$2,10,1),1)+1+25&gt;=DATE($B$2,10,1),DATE($B$2,10,1)-WEEKDAY(DATE($B$2,10,1),1)+1+25&lt;=EOMONTH(DATE($B$2,10,1),0)),DAY(DATE($B$2,10,1)-WEEKDAY(DATE($B$2,10,1),1)+1+25),"")</f>
        <v>23</v>
      </c>
      <c r="O29" s="4">
        <f>IF(AND(DATE($B$2,10,1)-WEEKDAY(DATE($B$2,10,1),1)+1+26&gt;=DATE($B$2,10,1),DATE($B$2,10,1)-WEEKDAY(DATE($B$2,10,1),1)+1+26&lt;=EOMONTH(DATE($B$2,10,1),0)),DAY(DATE($B$2,10,1)-WEEKDAY(DATE($B$2,10,1),1)+1+26),"")</f>
        <v>24</v>
      </c>
      <c r="P29" s="3">
        <f>IF(AND(DATE($B$2,10,1)-WEEKDAY(DATE($B$2,10,1),1)+1+27&gt;=DATE($B$2,10,1),DATE($B$2,10,1)-WEEKDAY(DATE($B$2,10,1),1)+1+27&lt;=EOMONTH(DATE($B$2,10,1),0)),DAY(DATE($B$2,10,1)-WEEKDAY(DATE($B$2,10,1),1)+1+27),"")</f>
        <v>25</v>
      </c>
      <c r="S29" s="3">
        <f>IF(AND(DATE($B$2,11,1)-WEEKDAY(DATE($B$2,11,1),1)+1+21&gt;=DATE($B$2,11,1),DATE($B$2,11,1)-WEEKDAY(DATE($B$2,11,1),1)+1+21&lt;=EOMONTH(DATE($B$2,11,1),0)),DAY(DATE($B$2,11,1)-WEEKDAY(DATE($B$2,11,1),1)+1+21),"")</f>
        <v>16</v>
      </c>
      <c r="T29" s="4">
        <f>IF(AND(DATE($B$2,11,1)-WEEKDAY(DATE($B$2,11,1),1)+1+22&gt;=DATE($B$2,11,1),DATE($B$2,11,1)-WEEKDAY(DATE($B$2,11,1),1)+1+22&lt;=EOMONTH(DATE($B$2,11,1),0)),DAY(DATE($B$2,11,1)-WEEKDAY(DATE($B$2,11,1),1)+1+22),"")</f>
        <v>17</v>
      </c>
      <c r="U29" s="4">
        <f>IF(AND(DATE($B$2,11,1)-WEEKDAY(DATE($B$2,11,1),1)+1+23&gt;=DATE($B$2,11,1),DATE($B$2,11,1)-WEEKDAY(DATE($B$2,11,1),1)+1+23&lt;=EOMONTH(DATE($B$2,11,1),0)),DAY(DATE($B$2,11,1)-WEEKDAY(DATE($B$2,11,1),1)+1+23),"")</f>
        <v>18</v>
      </c>
      <c r="V29" s="4">
        <f>IF(AND(DATE($B$2,11,1)-WEEKDAY(DATE($B$2,11,1),1)+1+24&gt;=DATE($B$2,11,1),DATE($B$2,11,1)-WEEKDAY(DATE($B$2,11,1),1)+1+24&lt;=EOMONTH(DATE($B$2,11,1),0)),DAY(DATE($B$2,11,1)-WEEKDAY(DATE($B$2,11,1),1)+1+24),"")</f>
        <v>19</v>
      </c>
      <c r="W29" s="4">
        <f>IF(AND(DATE($B$2,11,1)-WEEKDAY(DATE($B$2,11,1),1)+1+25&gt;=DATE($B$2,11,1),DATE($B$2,11,1)-WEEKDAY(DATE($B$2,11,1),1)+1+25&lt;=EOMONTH(DATE($B$2,11,1),0)),DAY(DATE($B$2,11,1)-WEEKDAY(DATE($B$2,11,1),1)+1+25),"")</f>
        <v>20</v>
      </c>
      <c r="X29" s="4">
        <f>IF(AND(DATE($B$2,11,1)-WEEKDAY(DATE($B$2,11,1),1)+1+26&gt;=DATE($B$2,11,1),DATE($B$2,11,1)-WEEKDAY(DATE($B$2,11,1),1)+1+26&lt;=EOMONTH(DATE($B$2,11,1),0)),DAY(DATE($B$2,11,1)-WEEKDAY(DATE($B$2,11,1),1)+1+26),"")</f>
        <v>21</v>
      </c>
      <c r="Y29" s="3">
        <f>IF(AND(DATE($B$2,11,1)-WEEKDAY(DATE($B$2,11,1),1)+1+27&gt;=DATE($B$2,11,1),DATE($B$2,11,1)-WEEKDAY(DATE($B$2,11,1),1)+1+27&lt;=EOMONTH(DATE($B$2,11,1),0)),DAY(DATE($B$2,11,1)-WEEKDAY(DATE($B$2,11,1),1)+1+27),"")</f>
        <v>22</v>
      </c>
      <c r="AB29" s="3">
        <f>IF(AND(DATE($B$2,12,1)-WEEKDAY(DATE($B$2,12,1),1)+1+21&gt;=DATE($B$2,12,1),DATE($B$2,12,1)-WEEKDAY(DATE($B$2,12,1),1)+1+21&lt;=EOMONTH(DATE($B$2,12,1),0)),DAY(DATE($B$2,12,1)-WEEKDAY(DATE($B$2,12,1),1)+1+21),"")</f>
        <v>21</v>
      </c>
      <c r="AC29" s="4">
        <f>IF(AND(DATE($B$2,12,1)-WEEKDAY(DATE($B$2,12,1),1)+1+22&gt;=DATE($B$2,12,1),DATE($B$2,12,1)-WEEKDAY(DATE($B$2,12,1),1)+1+22&lt;=EOMONTH(DATE($B$2,12,1),0)),DAY(DATE($B$2,12,1)-WEEKDAY(DATE($B$2,12,1),1)+1+22),"")</f>
        <v>22</v>
      </c>
      <c r="AD29" s="4">
        <f>IF(AND(DATE($B$2,12,1)-WEEKDAY(DATE($B$2,12,1),1)+1+23&gt;=DATE($B$2,12,1),DATE($B$2,12,1)-WEEKDAY(DATE($B$2,12,1),1)+1+23&lt;=EOMONTH(DATE($B$2,12,1),0)),DAY(DATE($B$2,12,1)-WEEKDAY(DATE($B$2,12,1),1)+1+23),"")</f>
        <v>23</v>
      </c>
      <c r="AE29" s="4">
        <f>IF(AND(DATE($B$2,12,1)-WEEKDAY(DATE($B$2,12,1),1)+1+24&gt;=DATE($B$2,12,1),DATE($B$2,12,1)-WEEKDAY(DATE($B$2,12,1),1)+1+24&lt;=EOMONTH(DATE($B$2,12,1),0)),DAY(DATE($B$2,12,1)-WEEKDAY(DATE($B$2,12,1),1)+1+24),"")</f>
        <v>24</v>
      </c>
      <c r="AF29" s="4">
        <f>IF(AND(DATE($B$2,12,1)-WEEKDAY(DATE($B$2,12,1),1)+1+25&gt;=DATE($B$2,12,1),DATE($B$2,12,1)-WEEKDAY(DATE($B$2,12,1),1)+1+25&lt;=EOMONTH(DATE($B$2,12,1),0)),DAY(DATE($B$2,12,1)-WEEKDAY(DATE($B$2,12,1),1)+1+25),"")</f>
        <v>25</v>
      </c>
      <c r="AG29" s="4">
        <f>IF(AND(DATE($B$2,12,1)-WEEKDAY(DATE($B$2,12,1),1)+1+26&gt;=DATE($B$2,12,1),DATE($B$2,12,1)-WEEKDAY(DATE($B$2,12,1),1)+1+26&lt;=EOMONTH(DATE($B$2,12,1),0)),DAY(DATE($B$2,12,1)-WEEKDAY(DATE($B$2,12,1),1)+1+26),"")</f>
        <v>26</v>
      </c>
      <c r="AH29" s="3">
        <f>IF(AND(DATE($B$2,12,1)-WEEKDAY(DATE($B$2,12,1),1)+1+27&gt;=DATE($B$2,12,1),DATE($B$2,12,1)-WEEKDAY(DATE($B$2,12,1),1)+1+27&lt;=EOMONTH(DATE($B$2,12,1),0)),DAY(DATE($B$2,12,1)-WEEKDAY(DATE($B$2,12,1),1)+1+27),"")</f>
        <v>27</v>
      </c>
    </row>
    <row r="30" spans="1:34" x14ac:dyDescent="0.3">
      <c r="A30" s="3">
        <f>IF(AND(DATE($B$2,9,1)-WEEKDAY(DATE($B$2,9,1),1)+1+28&gt;=DATE($B$2,9,1),DATE($B$2,9,1)-WEEKDAY(DATE($B$2,9,1),1)+1+28&lt;=EOMONTH(DATE($B$2,9,1),0)),DAY(DATE($B$2,9,1)-WEEKDAY(DATE($B$2,9,1),1)+1+28),"")</f>
        <v>28</v>
      </c>
      <c r="B30" s="4">
        <f>IF(AND(DATE($B$2,9,1)-WEEKDAY(DATE($B$2,9,1),1)+1+29&gt;=DATE($B$2,9,1),DATE($B$2,9,1)-WEEKDAY(DATE($B$2,9,1),1)+1+29&lt;=EOMONTH(DATE($B$2,9,1),0)),DAY(DATE($B$2,9,1)-WEEKDAY(DATE($B$2,9,1),1)+1+29),"")</f>
        <v>29</v>
      </c>
      <c r="C30" s="4">
        <f>IF(AND(DATE($B$2,9,1)-WEEKDAY(DATE($B$2,9,1),1)+1+30&gt;=DATE($B$2,9,1),DATE($B$2,9,1)-WEEKDAY(DATE($B$2,9,1),1)+1+30&lt;=EOMONTH(DATE($B$2,9,1),0)),DAY(DATE($B$2,9,1)-WEEKDAY(DATE($B$2,9,1),1)+1+30),"")</f>
        <v>30</v>
      </c>
      <c r="D30" s="4" t="str">
        <f>IF(AND(DATE($B$2,9,1)-WEEKDAY(DATE($B$2,9,1),1)+1+31&gt;=DATE($B$2,9,1),DATE($B$2,9,1)-WEEKDAY(DATE($B$2,9,1),1)+1+31&lt;=EOMONTH(DATE($B$2,9,1),0)),DAY(DATE($B$2,9,1)-WEEKDAY(DATE($B$2,9,1),1)+1+31),"")</f>
        <v/>
      </c>
      <c r="E30" s="4" t="str">
        <f>IF(AND(DATE($B$2,9,1)-WEEKDAY(DATE($B$2,9,1),1)+1+32&gt;=DATE($B$2,9,1),DATE($B$2,9,1)-WEEKDAY(DATE($B$2,9,1),1)+1+32&lt;=EOMONTH(DATE($B$2,9,1),0)),DAY(DATE($B$2,9,1)-WEEKDAY(DATE($B$2,9,1),1)+1+32),"")</f>
        <v/>
      </c>
      <c r="F30" s="4" t="str">
        <f>IF(AND(DATE($B$2,9,1)-WEEKDAY(DATE($B$2,9,1),1)+1+33&gt;=DATE($B$2,9,1),DATE($B$2,9,1)-WEEKDAY(DATE($B$2,9,1),1)+1+33&lt;=EOMONTH(DATE($B$2,9,1),0)),DAY(DATE($B$2,9,1)-WEEKDAY(DATE($B$2,9,1),1)+1+33),"")</f>
        <v/>
      </c>
      <c r="G30" s="3" t="str">
        <f>IF(AND(DATE($B$2,9,1)-WEEKDAY(DATE($B$2,9,1),1)+1+34&gt;=DATE($B$2,9,1),DATE($B$2,9,1)-WEEKDAY(DATE($B$2,9,1),1)+1+34&lt;=EOMONTH(DATE($B$2,9,1),0)),DAY(DATE($B$2,9,1)-WEEKDAY(DATE($B$2,9,1),1)+1+34),"")</f>
        <v/>
      </c>
      <c r="J30" s="3">
        <f>IF(AND(DATE($B$2,10,1)-WEEKDAY(DATE($B$2,10,1),1)+1+28&gt;=DATE($B$2,10,1),DATE($B$2,10,1)-WEEKDAY(DATE($B$2,10,1),1)+1+28&lt;=EOMONTH(DATE($B$2,10,1),0)),DAY(DATE($B$2,10,1)-WEEKDAY(DATE($B$2,10,1),1)+1+28),"")</f>
        <v>26</v>
      </c>
      <c r="K30" s="4">
        <f>IF(AND(DATE($B$2,10,1)-WEEKDAY(DATE($B$2,10,1),1)+1+29&gt;=DATE($B$2,10,1),DATE($B$2,10,1)-WEEKDAY(DATE($B$2,10,1),1)+1+29&lt;=EOMONTH(DATE($B$2,10,1),0)),DAY(DATE($B$2,10,1)-WEEKDAY(DATE($B$2,10,1),1)+1+29),"")</f>
        <v>27</v>
      </c>
      <c r="L30" s="4">
        <f>IF(AND(DATE($B$2,10,1)-WEEKDAY(DATE($B$2,10,1),1)+1+30&gt;=DATE($B$2,10,1),DATE($B$2,10,1)-WEEKDAY(DATE($B$2,10,1),1)+1+30&lt;=EOMONTH(DATE($B$2,10,1),0)),DAY(DATE($B$2,10,1)-WEEKDAY(DATE($B$2,10,1),1)+1+30),"")</f>
        <v>28</v>
      </c>
      <c r="M30" s="4">
        <f>IF(AND(DATE($B$2,10,1)-WEEKDAY(DATE($B$2,10,1),1)+1+31&gt;=DATE($B$2,10,1),DATE($B$2,10,1)-WEEKDAY(DATE($B$2,10,1),1)+1+31&lt;=EOMONTH(DATE($B$2,10,1),0)),DAY(DATE($B$2,10,1)-WEEKDAY(DATE($B$2,10,1),1)+1+31),"")</f>
        <v>29</v>
      </c>
      <c r="N30" s="4">
        <f>IF(AND(DATE($B$2,10,1)-WEEKDAY(DATE($B$2,10,1),1)+1+32&gt;=DATE($B$2,10,1),DATE($B$2,10,1)-WEEKDAY(DATE($B$2,10,1),1)+1+32&lt;=EOMONTH(DATE($B$2,10,1),0)),DAY(DATE($B$2,10,1)-WEEKDAY(DATE($B$2,10,1),1)+1+32),"")</f>
        <v>30</v>
      </c>
      <c r="O30" s="4">
        <f>IF(AND(DATE($B$2,10,1)-WEEKDAY(DATE($B$2,10,1),1)+1+33&gt;=DATE($B$2,10,1),DATE($B$2,10,1)-WEEKDAY(DATE($B$2,10,1),1)+1+33&lt;=EOMONTH(DATE($B$2,10,1),0)),DAY(DATE($B$2,10,1)-WEEKDAY(DATE($B$2,10,1),1)+1+33),"")</f>
        <v>31</v>
      </c>
      <c r="P30" s="3" t="str">
        <f>IF(AND(DATE($B$2,10,1)-WEEKDAY(DATE($B$2,10,1),1)+1+34&gt;=DATE($B$2,10,1),DATE($B$2,10,1)-WEEKDAY(DATE($B$2,10,1),1)+1+34&lt;=EOMONTH(DATE($B$2,10,1),0)),DAY(DATE($B$2,10,1)-WEEKDAY(DATE($B$2,10,1),1)+1+34),"")</f>
        <v/>
      </c>
      <c r="S30" s="3">
        <f>IF(AND(DATE($B$2,11,1)-WEEKDAY(DATE($B$2,11,1),1)+1+28&gt;=DATE($B$2,11,1),DATE($B$2,11,1)-WEEKDAY(DATE($B$2,11,1),1)+1+28&lt;=EOMONTH(DATE($B$2,11,1),0)),DAY(DATE($B$2,11,1)-WEEKDAY(DATE($B$2,11,1),1)+1+28),"")</f>
        <v>23</v>
      </c>
      <c r="T30" s="4">
        <f>IF(AND(DATE($B$2,11,1)-WEEKDAY(DATE($B$2,11,1),1)+1+29&gt;=DATE($B$2,11,1),DATE($B$2,11,1)-WEEKDAY(DATE($B$2,11,1),1)+1+29&lt;=EOMONTH(DATE($B$2,11,1),0)),DAY(DATE($B$2,11,1)-WEEKDAY(DATE($B$2,11,1),1)+1+29),"")</f>
        <v>24</v>
      </c>
      <c r="U30" s="4">
        <f>IF(AND(DATE($B$2,11,1)-WEEKDAY(DATE($B$2,11,1),1)+1+30&gt;=DATE($B$2,11,1),DATE($B$2,11,1)-WEEKDAY(DATE($B$2,11,1),1)+1+30&lt;=EOMONTH(DATE($B$2,11,1),0)),DAY(DATE($B$2,11,1)-WEEKDAY(DATE($B$2,11,1),1)+1+30),"")</f>
        <v>25</v>
      </c>
      <c r="V30" s="4">
        <f>IF(AND(DATE($B$2,11,1)-WEEKDAY(DATE($B$2,11,1),1)+1+31&gt;=DATE($B$2,11,1),DATE($B$2,11,1)-WEEKDAY(DATE($B$2,11,1),1)+1+31&lt;=EOMONTH(DATE($B$2,11,1),0)),DAY(DATE($B$2,11,1)-WEEKDAY(DATE($B$2,11,1),1)+1+31),"")</f>
        <v>26</v>
      </c>
      <c r="W30" s="4">
        <f>IF(AND(DATE($B$2,11,1)-WEEKDAY(DATE($B$2,11,1),1)+1+32&gt;=DATE($B$2,11,1),DATE($B$2,11,1)-WEEKDAY(DATE($B$2,11,1),1)+1+32&lt;=EOMONTH(DATE($B$2,11,1),0)),DAY(DATE($B$2,11,1)-WEEKDAY(DATE($B$2,11,1),1)+1+32),"")</f>
        <v>27</v>
      </c>
      <c r="X30" s="4">
        <f>IF(AND(DATE($B$2,11,1)-WEEKDAY(DATE($B$2,11,1),1)+1+33&gt;=DATE($B$2,11,1),DATE($B$2,11,1)-WEEKDAY(DATE($B$2,11,1),1)+1+33&lt;=EOMONTH(DATE($B$2,11,1),0)),DAY(DATE($B$2,11,1)-WEEKDAY(DATE($B$2,11,1),1)+1+33),"")</f>
        <v>28</v>
      </c>
      <c r="Y30" s="3">
        <f>IF(AND(DATE($B$2,11,1)-WEEKDAY(DATE($B$2,11,1),1)+1+34&gt;=DATE($B$2,11,1),DATE($B$2,11,1)-WEEKDAY(DATE($B$2,11,1),1)+1+34&lt;=EOMONTH(DATE($B$2,11,1),0)),DAY(DATE($B$2,11,1)-WEEKDAY(DATE($B$2,11,1),1)+1+34),"")</f>
        <v>29</v>
      </c>
      <c r="AB30" s="3">
        <f>IF(AND(DATE($B$2,12,1)-WEEKDAY(DATE($B$2,12,1),1)+1+28&gt;=DATE($B$2,12,1),DATE($B$2,12,1)-WEEKDAY(DATE($B$2,12,1),1)+1+28&lt;=EOMONTH(DATE($B$2,12,1),0)),DAY(DATE($B$2,12,1)-WEEKDAY(DATE($B$2,12,1),1)+1+28),"")</f>
        <v>28</v>
      </c>
      <c r="AC30" s="4">
        <f>IF(AND(DATE($B$2,12,1)-WEEKDAY(DATE($B$2,12,1),1)+1+29&gt;=DATE($B$2,12,1),DATE($B$2,12,1)-WEEKDAY(DATE($B$2,12,1),1)+1+29&lt;=EOMONTH(DATE($B$2,12,1),0)),DAY(DATE($B$2,12,1)-WEEKDAY(DATE($B$2,12,1),1)+1+29),"")</f>
        <v>29</v>
      </c>
      <c r="AD30" s="4">
        <f>IF(AND(DATE($B$2,12,1)-WEEKDAY(DATE($B$2,12,1),1)+1+30&gt;=DATE($B$2,12,1),DATE($B$2,12,1)-WEEKDAY(DATE($B$2,12,1),1)+1+30&lt;=EOMONTH(DATE($B$2,12,1),0)),DAY(DATE($B$2,12,1)-WEEKDAY(DATE($B$2,12,1),1)+1+30),"")</f>
        <v>30</v>
      </c>
      <c r="AE30" s="4">
        <f>IF(AND(DATE($B$2,12,1)-WEEKDAY(DATE($B$2,12,1),1)+1+31&gt;=DATE($B$2,12,1),DATE($B$2,12,1)-WEEKDAY(DATE($B$2,12,1),1)+1+31&lt;=EOMONTH(DATE($B$2,12,1),0)),DAY(DATE($B$2,12,1)-WEEKDAY(DATE($B$2,12,1),1)+1+31),"")</f>
        <v>31</v>
      </c>
      <c r="AF30" s="4" t="str">
        <f>IF(AND(DATE($B$2,12,1)-WEEKDAY(DATE($B$2,12,1),1)+1+32&gt;=DATE($B$2,12,1),DATE($B$2,12,1)-WEEKDAY(DATE($B$2,12,1),1)+1+32&lt;=EOMONTH(DATE($B$2,12,1),0)),DAY(DATE($B$2,12,1)-WEEKDAY(DATE($B$2,12,1),1)+1+32),"")</f>
        <v/>
      </c>
      <c r="AG30" s="4" t="str">
        <f>IF(AND(DATE($B$2,12,1)-WEEKDAY(DATE($B$2,12,1),1)+1+33&gt;=DATE($B$2,12,1),DATE($B$2,12,1)-WEEKDAY(DATE($B$2,12,1),1)+1+33&lt;=EOMONTH(DATE($B$2,12,1),0)),DAY(DATE($B$2,12,1)-WEEKDAY(DATE($B$2,12,1),1)+1+33),"")</f>
        <v/>
      </c>
      <c r="AH30" s="3" t="str">
        <f>IF(AND(DATE($B$2,12,1)-WEEKDAY(DATE($B$2,12,1),1)+1+34&gt;=DATE($B$2,12,1),DATE($B$2,12,1)-WEEKDAY(DATE($B$2,12,1),1)+1+34&lt;=EOMONTH(DATE($B$2,12,1),0)),DAY(DATE($B$2,12,1)-WEEKDAY(DATE($B$2,12,1),1)+1+34),"")</f>
        <v/>
      </c>
    </row>
    <row r="31" spans="1:34" x14ac:dyDescent="0.3">
      <c r="A31" s="3" t="str">
        <f>IF(AND(DATE($B$2,9,1)-WEEKDAY(DATE($B$2,9,1),1)+1+35&gt;=DATE($B$2,9,1),DATE($B$2,9,1)-WEEKDAY(DATE($B$2,9,1),1)+1+35&lt;=EOMONTH(DATE($B$2,9,1),0)),DAY(DATE($B$2,9,1)-WEEKDAY(DATE($B$2,9,1),1)+1+35),"")</f>
        <v/>
      </c>
      <c r="B31" s="4" t="str">
        <f>IF(AND(DATE($B$2,9,1)-WEEKDAY(DATE($B$2,9,1),1)+1+36&gt;=DATE($B$2,9,1),DATE($B$2,9,1)-WEEKDAY(DATE($B$2,9,1),1)+1+36&lt;=EOMONTH(DATE($B$2,9,1),0)),DAY(DATE($B$2,9,1)-WEEKDAY(DATE($B$2,9,1),1)+1+36),"")</f>
        <v/>
      </c>
      <c r="C31" s="4" t="str">
        <f>IF(AND(DATE($B$2,9,1)-WEEKDAY(DATE($B$2,9,1),1)+1+37&gt;=DATE($B$2,9,1),DATE($B$2,9,1)-WEEKDAY(DATE($B$2,9,1),1)+1+37&lt;=EOMONTH(DATE($B$2,9,1),0)),DAY(DATE($B$2,9,1)-WEEKDAY(DATE($B$2,9,1),1)+1+37),"")</f>
        <v/>
      </c>
      <c r="D31" s="4" t="str">
        <f>IF(AND(DATE($B$2,9,1)-WEEKDAY(DATE($B$2,9,1),1)+1+38&gt;=DATE($B$2,9,1),DATE($B$2,9,1)-WEEKDAY(DATE($B$2,9,1),1)+1+38&lt;=EOMONTH(DATE($B$2,9,1),0)),DAY(DATE($B$2,9,1)-WEEKDAY(DATE($B$2,9,1),1)+1+38),"")</f>
        <v/>
      </c>
      <c r="E31" s="4" t="str">
        <f>IF(AND(DATE($B$2,9,1)-WEEKDAY(DATE($B$2,9,1),1)+1+39&gt;=DATE($B$2,9,1),DATE($B$2,9,1)-WEEKDAY(DATE($B$2,9,1),1)+1+39&lt;=EOMONTH(DATE($B$2,9,1),0)),DAY(DATE($B$2,9,1)-WEEKDAY(DATE($B$2,9,1),1)+1+39),"")</f>
        <v/>
      </c>
      <c r="F31" s="4" t="str">
        <f>IF(AND(DATE($B$2,9,1)-WEEKDAY(DATE($B$2,9,1),1)+1+40&gt;=DATE($B$2,9,1),DATE($B$2,9,1)-WEEKDAY(DATE($B$2,9,1),1)+1+40&lt;=EOMONTH(DATE($B$2,9,1),0)),DAY(DATE($B$2,9,1)-WEEKDAY(DATE($B$2,9,1),1)+1+40),"")</f>
        <v/>
      </c>
      <c r="G31" s="3" t="str">
        <f>IF(AND(DATE($B$2,9,1)-WEEKDAY(DATE($B$2,9,1),1)+1+41&gt;=DATE($B$2,9,1),DATE($B$2,9,1)-WEEKDAY(DATE($B$2,9,1),1)+1+41&lt;=EOMONTH(DATE($B$2,9,1),0)),DAY(DATE($B$2,9,1)-WEEKDAY(DATE($B$2,9,1),1)+1+41),"")</f>
        <v/>
      </c>
      <c r="J31" s="3" t="str">
        <f>IF(AND(DATE($B$2,10,1)-WEEKDAY(DATE($B$2,10,1),1)+1+35&gt;=DATE($B$2,10,1),DATE($B$2,10,1)-WEEKDAY(DATE($B$2,10,1),1)+1+35&lt;=EOMONTH(DATE($B$2,10,1),0)),DAY(DATE($B$2,10,1)-WEEKDAY(DATE($B$2,10,1),1)+1+35),"")</f>
        <v/>
      </c>
      <c r="K31" s="4" t="str">
        <f>IF(AND(DATE($B$2,10,1)-WEEKDAY(DATE($B$2,10,1),1)+1+36&gt;=DATE($B$2,10,1),DATE($B$2,10,1)-WEEKDAY(DATE($B$2,10,1),1)+1+36&lt;=EOMONTH(DATE($B$2,10,1),0)),DAY(DATE($B$2,10,1)-WEEKDAY(DATE($B$2,10,1),1)+1+36),"")</f>
        <v/>
      </c>
      <c r="L31" s="4" t="str">
        <f>IF(AND(DATE($B$2,10,1)-WEEKDAY(DATE($B$2,10,1),1)+1+37&gt;=DATE($B$2,10,1),DATE($B$2,10,1)-WEEKDAY(DATE($B$2,10,1),1)+1+37&lt;=EOMONTH(DATE($B$2,10,1),0)),DAY(DATE($B$2,10,1)-WEEKDAY(DATE($B$2,10,1),1)+1+37),"")</f>
        <v/>
      </c>
      <c r="M31" s="4" t="str">
        <f>IF(AND(DATE($B$2,10,1)-WEEKDAY(DATE($B$2,10,1),1)+1+38&gt;=DATE($B$2,10,1),DATE($B$2,10,1)-WEEKDAY(DATE($B$2,10,1),1)+1+38&lt;=EOMONTH(DATE($B$2,10,1),0)),DAY(DATE($B$2,10,1)-WEEKDAY(DATE($B$2,10,1),1)+1+38),"")</f>
        <v/>
      </c>
      <c r="N31" s="4" t="str">
        <f>IF(AND(DATE($B$2,10,1)-WEEKDAY(DATE($B$2,10,1),1)+1+39&gt;=DATE($B$2,10,1),DATE($B$2,10,1)-WEEKDAY(DATE($B$2,10,1),1)+1+39&lt;=EOMONTH(DATE($B$2,10,1),0)),DAY(DATE($B$2,10,1)-WEEKDAY(DATE($B$2,10,1),1)+1+39),"")</f>
        <v/>
      </c>
      <c r="O31" s="4" t="str">
        <f>IF(AND(DATE($B$2,10,1)-WEEKDAY(DATE($B$2,10,1),1)+1+40&gt;=DATE($B$2,10,1),DATE($B$2,10,1)-WEEKDAY(DATE($B$2,10,1),1)+1+40&lt;=EOMONTH(DATE($B$2,10,1),0)),DAY(DATE($B$2,10,1)-WEEKDAY(DATE($B$2,10,1),1)+1+40),"")</f>
        <v/>
      </c>
      <c r="P31" s="3" t="str">
        <f>IF(AND(DATE($B$2,10,1)-WEEKDAY(DATE($B$2,10,1),1)+1+41&gt;=DATE($B$2,10,1),DATE($B$2,10,1)-WEEKDAY(DATE($B$2,10,1),1)+1+41&lt;=EOMONTH(DATE($B$2,10,1),0)),DAY(DATE($B$2,10,1)-WEEKDAY(DATE($B$2,10,1),1)+1+41),"")</f>
        <v/>
      </c>
      <c r="S31" s="3">
        <f>IF(AND(DATE($B$2,11,1)-WEEKDAY(DATE($B$2,11,1),1)+1+35&gt;=DATE($B$2,11,1),DATE($B$2,11,1)-WEEKDAY(DATE($B$2,11,1),1)+1+35&lt;=EOMONTH(DATE($B$2,11,1),0)),DAY(DATE($B$2,11,1)-WEEKDAY(DATE($B$2,11,1),1)+1+35),"")</f>
        <v>30</v>
      </c>
      <c r="T31" s="4" t="str">
        <f>IF(AND(DATE($B$2,11,1)-WEEKDAY(DATE($B$2,11,1),1)+1+36&gt;=DATE($B$2,11,1),DATE($B$2,11,1)-WEEKDAY(DATE($B$2,11,1),1)+1+36&lt;=EOMONTH(DATE($B$2,11,1),0)),DAY(DATE($B$2,11,1)-WEEKDAY(DATE($B$2,11,1),1)+1+36),"")</f>
        <v/>
      </c>
      <c r="U31" s="4" t="str">
        <f>IF(AND(DATE($B$2,11,1)-WEEKDAY(DATE($B$2,11,1),1)+1+37&gt;=DATE($B$2,11,1),DATE($B$2,11,1)-WEEKDAY(DATE($B$2,11,1),1)+1+37&lt;=EOMONTH(DATE($B$2,11,1),0)),DAY(DATE($B$2,11,1)-WEEKDAY(DATE($B$2,11,1),1)+1+37),"")</f>
        <v/>
      </c>
      <c r="V31" s="4" t="str">
        <f>IF(AND(DATE($B$2,11,1)-WEEKDAY(DATE($B$2,11,1),1)+1+38&gt;=DATE($B$2,11,1),DATE($B$2,11,1)-WEEKDAY(DATE($B$2,11,1),1)+1+38&lt;=EOMONTH(DATE($B$2,11,1),0)),DAY(DATE($B$2,11,1)-WEEKDAY(DATE($B$2,11,1),1)+1+38),"")</f>
        <v/>
      </c>
      <c r="W31" s="4" t="str">
        <f>IF(AND(DATE($B$2,11,1)-WEEKDAY(DATE($B$2,11,1),1)+1+39&gt;=DATE($B$2,11,1),DATE($B$2,11,1)-WEEKDAY(DATE($B$2,11,1),1)+1+39&lt;=EOMONTH(DATE($B$2,11,1),0)),DAY(DATE($B$2,11,1)-WEEKDAY(DATE($B$2,11,1),1)+1+39),"")</f>
        <v/>
      </c>
      <c r="X31" s="4" t="str">
        <f>IF(AND(DATE($B$2,11,1)-WEEKDAY(DATE($B$2,11,1),1)+1+40&gt;=DATE($B$2,11,1),DATE($B$2,11,1)-WEEKDAY(DATE($B$2,11,1),1)+1+40&lt;=EOMONTH(DATE($B$2,11,1),0)),DAY(DATE($B$2,11,1)-WEEKDAY(DATE($B$2,11,1),1)+1+40),"")</f>
        <v/>
      </c>
      <c r="Y31" s="3" t="str">
        <f>IF(AND(DATE($B$2,11,1)-WEEKDAY(DATE($B$2,11,1),1)+1+41&gt;=DATE($B$2,11,1),DATE($B$2,11,1)-WEEKDAY(DATE($B$2,11,1),1)+1+41&lt;=EOMONTH(DATE($B$2,11,1),0)),DAY(DATE($B$2,11,1)-WEEKDAY(DATE($B$2,11,1),1)+1+41),"")</f>
        <v/>
      </c>
      <c r="AB31" s="3" t="str">
        <f>IF(AND(DATE($B$2,12,1)-WEEKDAY(DATE($B$2,12,1),1)+1+35&gt;=DATE($B$2,12,1),DATE($B$2,12,1)-WEEKDAY(DATE($B$2,12,1),1)+1+35&lt;=EOMONTH(DATE($B$2,12,1),0)),DAY(DATE($B$2,12,1)-WEEKDAY(DATE($B$2,12,1),1)+1+35),"")</f>
        <v/>
      </c>
      <c r="AC31" s="4" t="str">
        <f>IF(AND(DATE($B$2,12,1)-WEEKDAY(DATE($B$2,12,1),1)+1+36&gt;=DATE($B$2,12,1),DATE($B$2,12,1)-WEEKDAY(DATE($B$2,12,1),1)+1+36&lt;=EOMONTH(DATE($B$2,12,1),0)),DAY(DATE($B$2,12,1)-WEEKDAY(DATE($B$2,12,1),1)+1+36),"")</f>
        <v/>
      </c>
      <c r="AD31" s="4" t="str">
        <f>IF(AND(DATE($B$2,12,1)-WEEKDAY(DATE($B$2,12,1),1)+1+37&gt;=DATE($B$2,12,1),DATE($B$2,12,1)-WEEKDAY(DATE($B$2,12,1),1)+1+37&lt;=EOMONTH(DATE($B$2,12,1),0)),DAY(DATE($B$2,12,1)-WEEKDAY(DATE($B$2,12,1),1)+1+37),"")</f>
        <v/>
      </c>
      <c r="AE31" s="4" t="str">
        <f>IF(AND(DATE($B$2,12,1)-WEEKDAY(DATE($B$2,12,1),1)+1+38&gt;=DATE($B$2,12,1),DATE($B$2,12,1)-WEEKDAY(DATE($B$2,12,1),1)+1+38&lt;=EOMONTH(DATE($B$2,12,1),0)),DAY(DATE($B$2,12,1)-WEEKDAY(DATE($B$2,12,1),1)+1+38),"")</f>
        <v/>
      </c>
      <c r="AF31" s="4" t="str">
        <f>IF(AND(DATE($B$2,12,1)-WEEKDAY(DATE($B$2,12,1),1)+1+39&gt;=DATE($B$2,12,1),DATE($B$2,12,1)-WEEKDAY(DATE($B$2,12,1),1)+1+39&lt;=EOMONTH(DATE($B$2,12,1),0)),DAY(DATE($B$2,12,1)-WEEKDAY(DATE($B$2,12,1),1)+1+39),"")</f>
        <v/>
      </c>
      <c r="AG31" s="4" t="str">
        <f>IF(AND(DATE($B$2,12,1)-WEEKDAY(DATE($B$2,12,1),1)+1+40&gt;=DATE($B$2,12,1),DATE($B$2,12,1)-WEEKDAY(DATE($B$2,12,1),1)+1+40&lt;=EOMONTH(DATE($B$2,12,1),0)),DAY(DATE($B$2,12,1)-WEEKDAY(DATE($B$2,12,1),1)+1+40),"")</f>
        <v/>
      </c>
      <c r="AH31" s="3" t="str">
        <f>IF(AND(DATE($B$2,12,1)-WEEKDAY(DATE($B$2,12,1),1)+1+41&gt;=DATE($B$2,12,1),DATE($B$2,12,1)-WEEKDAY(DATE($B$2,12,1),1)+1+41&lt;=EOMONTH(DATE($B$2,12,1),0)),DAY(DATE($B$2,12,1)-WEEKDAY(DATE($B$2,12,1),1)+1+41),"")</f>
        <v/>
      </c>
    </row>
    <row r="41" spans="1:1" x14ac:dyDescent="0.3">
      <c r="A41" s="5"/>
    </row>
  </sheetData>
  <mergeCells count="13">
    <mergeCell ref="A24:G24"/>
    <mergeCell ref="J24:P24"/>
    <mergeCell ref="AB24:AH24"/>
    <mergeCell ref="J14:P14"/>
    <mergeCell ref="S14:Y14"/>
    <mergeCell ref="S24:Y24"/>
    <mergeCell ref="A1:AH1"/>
    <mergeCell ref="A4:G4"/>
    <mergeCell ref="S4:Y4"/>
    <mergeCell ref="AB4:AH4"/>
    <mergeCell ref="AB14:AH14"/>
    <mergeCell ref="J4:P4"/>
    <mergeCell ref="A14:G14"/>
  </mergeCells>
  <pageMargins left="0.75" right="0.75" top="1" bottom="1" header="0.5" footer="0.5"/>
  <pageSetup scale="69" orientation="portrait" r:id="rId1"/>
  <colBreaks count="1" manualBreakCount="1">
    <brk id="3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D19"/>
  <sheetViews>
    <sheetView showGridLines="0" zoomScaleNormal="100" workbookViewId="0">
      <selection activeCell="C20" sqref="C20"/>
    </sheetView>
  </sheetViews>
  <sheetFormatPr baseColWidth="10" defaultColWidth="8.88671875" defaultRowHeight="14.4" x14ac:dyDescent="0.3"/>
  <cols>
    <col min="1" max="3" width="17.77734375" customWidth="1"/>
    <col min="4" max="4" width="13.33203125" customWidth="1"/>
  </cols>
  <sheetData>
    <row r="1" spans="1:4" ht="19.8" x14ac:dyDescent="0.4">
      <c r="A1" s="14" t="s">
        <v>21</v>
      </c>
      <c r="B1" s="14"/>
      <c r="C1" s="14"/>
      <c r="D1" s="14"/>
    </row>
    <row r="2" spans="1:4" ht="21" x14ac:dyDescent="0.4">
      <c r="A2" s="6"/>
    </row>
    <row r="3" spans="1:4" ht="15.6" x14ac:dyDescent="0.3">
      <c r="A3" s="1" t="s">
        <v>6</v>
      </c>
      <c r="B3" s="1">
        <f>'Calendario automatizzato'!B2</f>
        <v>2025</v>
      </c>
    </row>
    <row r="5" spans="1:4" ht="4.8" customHeight="1" x14ac:dyDescent="0.3"/>
    <row r="6" spans="1:4" ht="4.8" customHeight="1" x14ac:dyDescent="0.3"/>
    <row r="7" spans="1:4" x14ac:dyDescent="0.3">
      <c r="A7" s="8" t="s">
        <v>22</v>
      </c>
      <c r="B7" s="9" t="s">
        <v>24</v>
      </c>
      <c r="C7" s="8" t="s">
        <v>25</v>
      </c>
    </row>
    <row r="8" spans="1:4" x14ac:dyDescent="0.3">
      <c r="A8" s="8" t="s">
        <v>7</v>
      </c>
      <c r="B8" s="15">
        <f>DATE(B3,1,1)</f>
        <v>45658</v>
      </c>
      <c r="C8" s="16" t="s">
        <v>26</v>
      </c>
    </row>
    <row r="9" spans="1:4" x14ac:dyDescent="0.3">
      <c r="A9" s="8" t="s">
        <v>8</v>
      </c>
      <c r="B9" s="15">
        <f>DATE(B3,2,1)</f>
        <v>45689</v>
      </c>
      <c r="C9" s="16" t="s">
        <v>27</v>
      </c>
    </row>
    <row r="10" spans="1:4" x14ac:dyDescent="0.3">
      <c r="A10" s="8" t="s">
        <v>9</v>
      </c>
      <c r="B10" s="15">
        <f>DATE(B3,3,1)</f>
        <v>45717</v>
      </c>
      <c r="C10" s="16">
        <v>45717</v>
      </c>
    </row>
    <row r="11" spans="1:4" x14ac:dyDescent="0.3">
      <c r="A11" s="8" t="s">
        <v>10</v>
      </c>
      <c r="B11" s="15">
        <f>DATE(B3,4,1)</f>
        <v>45748</v>
      </c>
      <c r="C11" s="16" t="s">
        <v>28</v>
      </c>
    </row>
    <row r="12" spans="1:4" x14ac:dyDescent="0.3">
      <c r="A12" s="8" t="s">
        <v>23</v>
      </c>
      <c r="B12" s="15">
        <f>DATE(B3,5,1)</f>
        <v>45778</v>
      </c>
      <c r="C12" s="16" t="s">
        <v>29</v>
      </c>
    </row>
    <row r="13" spans="1:4" x14ac:dyDescent="0.3">
      <c r="A13" s="8" t="s">
        <v>12</v>
      </c>
      <c r="B13" s="15">
        <f>DATE(B3,6,1)</f>
        <v>45809</v>
      </c>
      <c r="C13" s="16">
        <v>45809</v>
      </c>
    </row>
    <row r="14" spans="1:4" x14ac:dyDescent="0.3">
      <c r="A14" s="8" t="s">
        <v>13</v>
      </c>
      <c r="B14" s="15">
        <f>DATE(B3,7,1)</f>
        <v>45839</v>
      </c>
      <c r="C14" s="16">
        <v>45839</v>
      </c>
    </row>
    <row r="15" spans="1:4" x14ac:dyDescent="0.3">
      <c r="A15" s="8" t="s">
        <v>14</v>
      </c>
      <c r="B15" s="15">
        <f>DATE(B3,8,1)</f>
        <v>45870</v>
      </c>
      <c r="C15" s="16">
        <v>45870</v>
      </c>
    </row>
    <row r="16" spans="1:4" x14ac:dyDescent="0.3">
      <c r="A16" s="8" t="s">
        <v>15</v>
      </c>
      <c r="B16" s="15">
        <f>DATE(B3,9,1)</f>
        <v>45901</v>
      </c>
      <c r="C16" s="16" t="s">
        <v>30</v>
      </c>
    </row>
    <row r="17" spans="1:3" x14ac:dyDescent="0.3">
      <c r="A17" s="8" t="s">
        <v>16</v>
      </c>
      <c r="B17" s="15">
        <f>DATE(B3,10,1)</f>
        <v>45931</v>
      </c>
      <c r="C17" s="16" t="s">
        <v>31</v>
      </c>
    </row>
    <row r="18" spans="1:3" x14ac:dyDescent="0.3">
      <c r="A18" s="8" t="s">
        <v>4</v>
      </c>
      <c r="B18" s="15">
        <f>DATE(B3,11,1)</f>
        <v>45962</v>
      </c>
      <c r="C18" s="16" t="s">
        <v>32</v>
      </c>
    </row>
    <row r="19" spans="1:3" x14ac:dyDescent="0.3">
      <c r="A19" s="8" t="s">
        <v>17</v>
      </c>
      <c r="B19" s="15">
        <f>DATE(B3,12,1)</f>
        <v>45992</v>
      </c>
      <c r="C19" s="16" t="s">
        <v>33</v>
      </c>
    </row>
  </sheetData>
  <mergeCells count="1">
    <mergeCell ref="A1:D1"/>
  </mergeCells>
  <pageMargins left="0.75" right="0.75" top="1" bottom="1" header="0.5" footer="0.5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Calendario automatizzato</vt:lpstr>
      <vt:lpstr>Panoramica annuale</vt:lpstr>
      <vt:lpstr>'Calendario automatizzato'!Área_de_impresión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2025-08-27T03:25:34Z</dcterms:created>
  <dcterms:modified xsi:type="dcterms:W3CDTF">2025-11-13T17:16:58Z</dcterms:modified>
</cp:coreProperties>
</file>